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45" windowWidth="11985" windowHeight="7500" activeTab="10"/>
  </bookViews>
  <sheets>
    <sheet name="1" sheetId="1" r:id="rId1"/>
    <sheet name="2A" sheetId="2" r:id="rId2"/>
    <sheet name="2B" sheetId="3" r:id="rId3"/>
    <sheet name="3" sheetId="4" r:id="rId4"/>
    <sheet name="4" sheetId="5" r:id="rId5"/>
    <sheet name="5" sheetId="6" r:id="rId6"/>
    <sheet name="6" sheetId="7" r:id="rId7"/>
    <sheet name="7" sheetId="8" r:id="rId8"/>
    <sheet name=" 8" sheetId="9" r:id="rId9"/>
    <sheet name="9" sheetId="10" r:id="rId10"/>
    <sheet name="10" sheetId="11" r:id="rId11"/>
  </sheets>
  <definedNames>
    <definedName name="_xlnm.Print_Area" localSheetId="7">'7'!$A$1:$S$89</definedName>
    <definedName name="_xlnm.Print_Titles" localSheetId="8">' 8'!$6:$11</definedName>
    <definedName name="_xlnm.Print_Titles" localSheetId="0">'1'!$6:$12</definedName>
    <definedName name="_xlnm.Print_Titles" localSheetId="10">'10'!$8:$12</definedName>
    <definedName name="_xlnm.Print_Titles" localSheetId="1">'2A'!$7:$13</definedName>
    <definedName name="_xlnm.Print_Titles" localSheetId="2">'2B'!$7:$13</definedName>
    <definedName name="_xlnm.Print_Titles" localSheetId="3">'3'!$6:$11</definedName>
    <definedName name="_xlnm.Print_Titles" localSheetId="4">'4'!$6:$11</definedName>
    <definedName name="_xlnm.Print_Titles" localSheetId="5">'5'!$6:$9</definedName>
    <definedName name="_xlnm.Print_Titles" localSheetId="6">'6'!$6:$9</definedName>
    <definedName name="_xlnm.Print_Titles" localSheetId="7">'7'!$6:$11</definedName>
    <definedName name="_xlnm.Print_Titles" localSheetId="9">'9'!$6:$8</definedName>
  </definedNames>
  <calcPr fullCalcOnLoad="1"/>
</workbook>
</file>

<file path=xl/sharedStrings.xml><?xml version="1.0" encoding="utf-8"?>
<sst xmlns="http://schemas.openxmlformats.org/spreadsheetml/2006/main" count="1494" uniqueCount="311">
  <si>
    <t xml:space="preserve">Báo cáo viên </t>
  </si>
  <si>
    <t>Tuyên truyền viên</t>
  </si>
  <si>
    <t>HỘ TỊCH</t>
  </si>
  <si>
    <t>Trong nước</t>
  </si>
  <si>
    <t>Có yếu tố nước ngoài</t>
  </si>
  <si>
    <t>CHỨNG THỰC</t>
  </si>
  <si>
    <t>BÁN ĐẤU GIÁ (BĐG) TÀI SẢN</t>
  </si>
  <si>
    <t>BỘ TƯ PHÁP</t>
  </si>
  <si>
    <t>Số văn bản trái pháp luật đã được xử lý</t>
  </si>
  <si>
    <t>Tổng số</t>
  </si>
  <si>
    <t>Lệnh, Quyết định của Chủ tịch nước</t>
  </si>
  <si>
    <t>Nghị định của Chính phủ</t>
  </si>
  <si>
    <t>Thông tư, TTLT</t>
  </si>
  <si>
    <t>Luật, Nghị quyết của Quốc hội</t>
  </si>
  <si>
    <t>PHỔ BIẾN, GIÁO DỤC PHÁP LUẬT</t>
  </si>
  <si>
    <t>Tuyên truyền (TT) miệng pháp luật (PL)</t>
  </si>
  <si>
    <t>Tủ sách PL cấp xã</t>
  </si>
  <si>
    <t>Tủ sách PL ở cơ quan, đơn vị</t>
  </si>
  <si>
    <t>Biểu mẫu số 3</t>
  </si>
  <si>
    <t>Công dân Việt Nam</t>
  </si>
  <si>
    <t>Người nước ngoài</t>
  </si>
  <si>
    <t>Cơ quan Nhà nước, Tổ chức chính trị, tổ chức chính trị xã hội</t>
  </si>
  <si>
    <t>Bình thường</t>
  </si>
  <si>
    <t>Khuyết tật, mắc bệnh hiểm nghèo</t>
  </si>
  <si>
    <t>Sức khoẻ khác</t>
  </si>
  <si>
    <r>
      <t xml:space="preserve">Tổng số thù lao CC, chi phí khác thu được
</t>
    </r>
    <r>
      <rPr>
        <i/>
        <sz val="10"/>
        <rFont val="Times New Roman"/>
        <family val="1"/>
      </rPr>
      <t>(Nghìn đồng)</t>
    </r>
  </si>
  <si>
    <r>
      <t xml:space="preserve">Tổng số tiền nộp vào ngân sách Nhà nước hoặc nộp thuế </t>
    </r>
    <r>
      <rPr>
        <i/>
        <sz val="10"/>
        <rFont val="Times New Roman"/>
        <family val="1"/>
      </rPr>
      <t>(Nghìn đồng)</t>
    </r>
  </si>
  <si>
    <t>Trong đó: Nộp ngân sách</t>
  </si>
  <si>
    <t>Số Giám định viên tư pháp</t>
  </si>
  <si>
    <t>Số người giám định tư pháp theo vụ việc</t>
  </si>
  <si>
    <t>Theo yêu cầu của cơ quan tiến hành tố tụng</t>
  </si>
  <si>
    <t>Theo yêu cầu của cá nhân, tổ chức</t>
  </si>
  <si>
    <t>Số đơn thụ lý</t>
  </si>
  <si>
    <t>Số đơn đã giải quyết</t>
  </si>
  <si>
    <t>Số văn bản quy phạm pháp luật do Bộ, Ngành chủ trì soạn thảo được ban hành</t>
  </si>
  <si>
    <t>Số văn bản quy phạm pháp luật do tổ chức pháp chế Bộ (Ngành) thẩm định</t>
  </si>
  <si>
    <t>Số VB đã tự kiểm tra</t>
  </si>
  <si>
    <t>Số VB phát hiện trái pháp luật</t>
  </si>
  <si>
    <t>Trong đó:  Số VB trái pháp luật về nội dung</t>
  </si>
  <si>
    <t>Số VB đã tiếp nhận để kiểm tra theo thẩm quyền</t>
  </si>
  <si>
    <t>A</t>
  </si>
  <si>
    <t>Số VBQPPL do cơ quan tư pháp thẩm định</t>
  </si>
  <si>
    <t>Số VBQPPL do Phòng Tư pháp thẩm định</t>
  </si>
  <si>
    <t>Số VBQPPL do Sở Tư pháp thẩm định</t>
  </si>
  <si>
    <t>Chia ra</t>
  </si>
  <si>
    <t>Đơn vị tính: Văn bản</t>
  </si>
  <si>
    <r>
      <t xml:space="preserve">Số lượng tài liệu TTPL được phát hành miễn phí </t>
    </r>
    <r>
      <rPr>
        <i/>
        <sz val="10"/>
        <rFont val="Times New Roman"/>
        <family val="1"/>
      </rPr>
      <t>(Bản)</t>
    </r>
  </si>
  <si>
    <r>
      <t xml:space="preserve">Số lượng báo cáo viên, TT viên pháp luật </t>
    </r>
    <r>
      <rPr>
        <i/>
        <sz val="10"/>
        <rFont val="Times New Roman"/>
        <family val="1"/>
      </rPr>
      <t>(Người)</t>
    </r>
  </si>
  <si>
    <r>
      <t xml:space="preserve">Số vụ việc tiếp nhận hòa giải </t>
    </r>
    <r>
      <rPr>
        <i/>
        <sz val="10"/>
        <rFont val="Times New Roman"/>
        <family val="1"/>
      </rPr>
      <t>(Vụ việc)</t>
    </r>
  </si>
  <si>
    <r>
      <t xml:space="preserve">Số vụ việc hòa giải thành </t>
    </r>
    <r>
      <rPr>
        <i/>
        <sz val="10"/>
        <rFont val="Times New Roman"/>
        <family val="1"/>
      </rPr>
      <t>(Vụ việc)</t>
    </r>
  </si>
  <si>
    <r>
      <t>Số cuộc TT</t>
    </r>
    <r>
      <rPr>
        <i/>
        <sz val="10"/>
        <rFont val="Times New Roman"/>
        <family val="1"/>
      </rPr>
      <t xml:space="preserve"> (Cuộc)</t>
    </r>
  </si>
  <si>
    <r>
      <t xml:space="preserve">Số lượt người được TT </t>
    </r>
    <r>
      <rPr>
        <i/>
        <sz val="10"/>
        <rFont val="Times New Roman"/>
        <family val="1"/>
      </rPr>
      <t>(Lượt người)</t>
    </r>
  </si>
  <si>
    <r>
      <t xml:space="preserve">Số lượng tủ sách </t>
    </r>
    <r>
      <rPr>
        <i/>
        <sz val="10"/>
        <rFont val="Times New Roman"/>
        <family val="1"/>
      </rPr>
      <t>(Tủ sách)</t>
    </r>
  </si>
  <si>
    <r>
      <t xml:space="preserve">Số lượt người đọc, mượn </t>
    </r>
    <r>
      <rPr>
        <i/>
        <sz val="10"/>
        <rFont val="Times New Roman"/>
        <family val="1"/>
      </rPr>
      <t>(Lượt người)</t>
    </r>
  </si>
  <si>
    <t>TỔNG SỐ</t>
  </si>
  <si>
    <t>cấp xã</t>
  </si>
  <si>
    <t>cấp huyện</t>
  </si>
  <si>
    <t>cấp tỉnh</t>
  </si>
  <si>
    <t xml:space="preserve">Trong đó: Số VBQPPL do STP được giao chủ trì xây dựng </t>
  </si>
  <si>
    <t>Hình thức tuyên truyền pháp luật (TTPL)</t>
  </si>
  <si>
    <r>
      <t xml:space="preserve">Tổng số lệ phí chứng thực thu được  </t>
    </r>
    <r>
      <rPr>
        <i/>
        <sz val="10"/>
        <rFont val="Times New Roman"/>
        <family val="1"/>
      </rPr>
      <t>(Triệu đồng)</t>
    </r>
  </si>
  <si>
    <r>
      <t xml:space="preserve">Số đăng ký khai sinh </t>
    </r>
    <r>
      <rPr>
        <i/>
        <sz val="10"/>
        <rFont val="Times New Roman"/>
        <family val="1"/>
      </rPr>
      <t xml:space="preserve">(Trường hợp) </t>
    </r>
  </si>
  <si>
    <r>
      <t xml:space="preserve">Số đăng ký khai tử </t>
    </r>
    <r>
      <rPr>
        <i/>
        <sz val="10"/>
        <rFont val="Times New Roman"/>
        <family val="1"/>
      </rPr>
      <t xml:space="preserve">(Trường hợp) </t>
    </r>
  </si>
  <si>
    <t>Số trường hợp ghi chú kết hôn (cặp)</t>
  </si>
  <si>
    <t>Số đăng ký nuôi con nuôi trong nước</t>
  </si>
  <si>
    <t>Số đăng ký nuôi con nuôi có yếu tố nước ngoài</t>
  </si>
  <si>
    <t>Chia theo tình trạng sức khoẻ của trẻ em</t>
  </si>
  <si>
    <r>
      <t xml:space="preserve">CON NUÔI </t>
    </r>
    <r>
      <rPr>
        <i/>
        <sz val="10"/>
        <rFont val="Times New Roman"/>
        <family val="1"/>
      </rPr>
      <t>(Người)</t>
    </r>
  </si>
  <si>
    <t>Số cuộc kết hôn (Cặp)</t>
  </si>
  <si>
    <t>Chia theo đối tượng có LLTP</t>
  </si>
  <si>
    <t>Biểu mẫu số 4</t>
  </si>
  <si>
    <t>Biểu mẫu số 5</t>
  </si>
  <si>
    <r>
      <t xml:space="preserve">Số tổ chức hành nghề công chứng </t>
    </r>
    <r>
      <rPr>
        <i/>
        <sz val="10"/>
        <rFont val="Times New Roman"/>
        <family val="1"/>
      </rPr>
      <t xml:space="preserve">(Tổ chức) </t>
    </r>
  </si>
  <si>
    <r>
      <t xml:space="preserve">Số công chứng viên </t>
    </r>
    <r>
      <rPr>
        <i/>
        <sz val="10"/>
        <rFont val="Times New Roman"/>
        <family val="1"/>
      </rPr>
      <t>(Người)</t>
    </r>
  </si>
  <si>
    <r>
      <t xml:space="preserve">Số lượng việc công chứng  </t>
    </r>
    <r>
      <rPr>
        <i/>
        <sz val="10"/>
        <rFont val="Times New Roman"/>
        <family val="1"/>
      </rPr>
      <t>(Việc)</t>
    </r>
  </si>
  <si>
    <t>Công chứng giao dịch khác</t>
  </si>
  <si>
    <t>Công chứng hợp đồng</t>
  </si>
  <si>
    <r>
      <t>Tổng số phí CC thu được</t>
    </r>
    <r>
      <rPr>
        <sz val="10"/>
        <rFont val="Times New Roman"/>
        <family val="1"/>
      </rPr>
      <t xml:space="preserve"> </t>
    </r>
    <r>
      <rPr>
        <i/>
        <sz val="10"/>
        <rFont val="Times New Roman"/>
        <family val="1"/>
      </rPr>
      <t>(Nghìn đồng)</t>
    </r>
  </si>
  <si>
    <t>Trong đó</t>
  </si>
  <si>
    <t>Số việc tham gia tố tụng</t>
  </si>
  <si>
    <t>Số việc tư vấn pháp luật</t>
  </si>
  <si>
    <t>Trong đó: Nộp thuế</t>
  </si>
  <si>
    <t>Biểu mẫu số 6</t>
  </si>
  <si>
    <t>Trong đó: Số hợp đồng BĐG thành</t>
  </si>
  <si>
    <t>Trong đó: Số cuộc BĐG thành</t>
  </si>
  <si>
    <r>
      <t>Số người giám định</t>
    </r>
    <r>
      <rPr>
        <i/>
        <sz val="10"/>
        <rFont val="Times New Roman"/>
        <family val="1"/>
      </rPr>
      <t xml:space="preserve"> (Người)</t>
    </r>
  </si>
  <si>
    <r>
      <t xml:space="preserve">Số vụ việc đã thực hiện giám định </t>
    </r>
    <r>
      <rPr>
        <i/>
        <sz val="10"/>
        <rFont val="Times New Roman"/>
        <family val="1"/>
      </rPr>
      <t>(Vụ việc)</t>
    </r>
  </si>
  <si>
    <t>I. Tại các Bộ, Ngành ở Trung ương</t>
  </si>
  <si>
    <t>Biểu mẫu số 8</t>
  </si>
  <si>
    <t>Biểu mẫu số 7</t>
  </si>
  <si>
    <t xml:space="preserve">Cung cấp thông tin </t>
  </si>
  <si>
    <t>I. Tại các Trung tâm đăng ký giao dịch, tài sản của Cục ĐKQGGDBĐ</t>
  </si>
  <si>
    <t xml:space="preserve">II. Tại Bộ Giao thông vận tải </t>
  </si>
  <si>
    <t>-</t>
  </si>
  <si>
    <t>III. Tại địa bàn tỉnh/thành phố</t>
  </si>
  <si>
    <t>II. Tại địa bàn cả nước</t>
  </si>
  <si>
    <t xml:space="preserve">Tổng số tại các địa phương </t>
  </si>
  <si>
    <t>Tổng số tại địa bàn cả nước</t>
  </si>
  <si>
    <t>II. Tại các địa phương</t>
  </si>
  <si>
    <t xml:space="preserve">VBQPPL trái pháp luật </t>
  </si>
  <si>
    <t xml:space="preserve">VB không phải là VBQPPL nhưng có chứa QPPL </t>
  </si>
  <si>
    <t xml:space="preserve">Số văn bản quy phạm pháp luật (VBQPPL) của HĐND và UBND các cấp được ban hành </t>
  </si>
  <si>
    <t xml:space="preserve">Số bản sao đã chứng thực (Bản sao) </t>
  </si>
  <si>
    <r>
      <t xml:space="preserve">Số chữ ký đã chứng thực </t>
    </r>
    <r>
      <rPr>
        <i/>
        <sz val="10"/>
        <rFont val="Times New Roman"/>
        <family val="1"/>
      </rPr>
      <t xml:space="preserve">(Chữ ký) </t>
    </r>
  </si>
  <si>
    <t xml:space="preserve">Trong đó: Nữ là công dân Việt Nam </t>
  </si>
  <si>
    <t>Chia theo đối tượng yêu cầu cấp</t>
  </si>
  <si>
    <t>Chia theo nội dung xác nhận</t>
  </si>
  <si>
    <t>Tổng số có án tích</t>
  </si>
  <si>
    <t>Tổng số không có án tích</t>
  </si>
  <si>
    <t>Cơ quan tiến hành tố tụng</t>
  </si>
  <si>
    <t>Tổng số đã bị kết án</t>
  </si>
  <si>
    <t>Tổng số không bị kết án</t>
  </si>
  <si>
    <r>
      <t xml:space="preserve">Số người có LLTP </t>
    </r>
    <r>
      <rPr>
        <i/>
        <sz val="10"/>
        <rFont val="Arial"/>
        <family val="2"/>
      </rPr>
      <t>(Người)</t>
    </r>
  </si>
  <si>
    <r>
      <t xml:space="preserve">Số Phiếu LLTP số 1 đã cấp </t>
    </r>
    <r>
      <rPr>
        <i/>
        <sz val="11"/>
        <rFont val="Times New Roman"/>
        <family val="1"/>
      </rPr>
      <t>(Phiếu)</t>
    </r>
  </si>
  <si>
    <r>
      <t xml:space="preserve">Số Phiếu LLTP số 2 đã cấp </t>
    </r>
    <r>
      <rPr>
        <i/>
        <sz val="11"/>
        <rFont val="Times New Roman"/>
        <family val="1"/>
      </rPr>
      <t>(Phiếu)</t>
    </r>
  </si>
  <si>
    <t>Biểu mẫu số 9</t>
  </si>
  <si>
    <t>Số việc yêu cầu bồi thường (Vụ việc)</t>
  </si>
  <si>
    <t>Số tiền phải bồi thường cho người bị thiệt hại (Nghìn đồng)</t>
  </si>
  <si>
    <t>Chia theo loại quyết định hành chính, hành vi hành chính</t>
  </si>
  <si>
    <t>Cá nhân</t>
  </si>
  <si>
    <t>Tổ chức</t>
  </si>
  <si>
    <t>Giấy chứng nhận đăng ký kinh doanh, Giấy chứng nhận đầu tư, Giấy phép và các giấy tờ có giá trị như giấy phép</t>
  </si>
  <si>
    <t>Đất đai</t>
  </si>
  <si>
    <t>Khác</t>
  </si>
  <si>
    <t>Chia theo đối tượng</t>
  </si>
  <si>
    <t>Tổng số thụ lý</t>
  </si>
  <si>
    <t>Trong đó: Đã giải quyết xong</t>
  </si>
  <si>
    <t>Cục Hàng không VN</t>
  </si>
  <si>
    <t>Cục hàng hải VN</t>
  </si>
  <si>
    <t>Quyết định của Thủ tướng Chính phủ</t>
  </si>
  <si>
    <t>HOÀ GIẢI  Ở CƠ SỞ</t>
  </si>
  <si>
    <t>Số tổ hòa giải
(Tổ)</t>
  </si>
  <si>
    <t>Số Tổ viên Tổ hòa giải (Người)</t>
  </si>
  <si>
    <t>Phòng công chứng</t>
  </si>
  <si>
    <t>Văn phòng công chứng</t>
  </si>
  <si>
    <t>Biểu mẫu số 10</t>
  </si>
  <si>
    <t>Số VBQPPL kiến nghị sau rà soát</t>
  </si>
  <si>
    <t>Còn hiệu lực</t>
  </si>
  <si>
    <t>Hết hiệu lực</t>
  </si>
  <si>
    <t>Kiến nghị sửa đổi, bổ sung, thay thế, bãi bỏ</t>
  </si>
  <si>
    <t>Kiến nghị ban hành mới</t>
  </si>
  <si>
    <t>Số văn bản quy phạm pháp luật (VBQPPL) đã được rà soát</t>
  </si>
  <si>
    <t>LUẬT SƯ</t>
  </si>
  <si>
    <t>Biểu mẫu số 1</t>
  </si>
  <si>
    <t xml:space="preserve">TỔNG HỢP SỐ LIỆU THỐNG KÊ VỀ HOẠT ĐỘNG XÂY DỰNG, THẨM ĐỊNH VĂN BẢN QUY PHẠM PHÁP LUẬT </t>
  </si>
  <si>
    <t xml:space="preserve">TỔNG HỢP SỐ LIỆU THỐNG KÊ VỀ HOẠT ĐỘNG PHỔ BIẾN, GIÁO DỤC PHÁP LUẬT VÀ HÒA GIẢI Ở CƠ SỞ </t>
  </si>
  <si>
    <t>TỔNG HỢP SỐ LIỆU THỐNG KÊ VỀ HOẠT ĐỘNG CHỨNG THỰC, HỘ TỊCH, QUỐC TỊCH</t>
  </si>
  <si>
    <t>TỔNG HỢP SỐ LIỆU THỐNG KÊ VỀ CÔNG TÁC LÝ LỊCH TƯ PHÁP</t>
  </si>
  <si>
    <t>TỔNG HỢP SỐ LIỆU THỐNG KÊ VỀ HOẠT ĐỘNG CÔNG CHỨNG</t>
  </si>
  <si>
    <t>TỔNG HỢP SỐ LIỆU THỐNG KÊ VỀ HOẠT ĐỘNG CỦA LUẬT SƯ VÀ HOẠT ĐỘNG BÁN ĐẤU GIÁ TÀI SẢN</t>
  </si>
  <si>
    <t xml:space="preserve">TỔNG HỢP SỐ LIỆU THỐNG KÊ VỀ HOẠT ĐỘNG ĐĂNG KÝ, CUNG CẤP THÔNG TIN VỀ GIAO DỊCH BẢO ĐẢM </t>
  </si>
  <si>
    <t>TỔNG HỢP SỐ LIỆU THỐNG KÊ VỀ HOẠT ĐỘNG GIẢI QUYẾT YÊU CẦU BỒI THƯỜNG NHÀ NƯỚC</t>
  </si>
  <si>
    <t xml:space="preserve">TỔNG HỢP SỐ LIỆU THỐNG KÊ VỀ HOẠT ĐỘNG GIÁM ĐỊNH TƯ PHÁP </t>
  </si>
  <si>
    <t xml:space="preserve">Số văn bản (VB) đã tự kiểm tra, xử lý </t>
  </si>
  <si>
    <t xml:space="preserve">Số văn bản (VB) đã được kiểm tra, xử lý theo thẩm quyền </t>
  </si>
  <si>
    <t>VB QPPL</t>
  </si>
  <si>
    <t xml:space="preserve">TỔNG HỢP SỐ LIỆU THỐNG KÊ VỀ HOẠT ĐỘNG KIỂM TRA VĂN BẢN QUY PHẠM PHÁP LUẬT </t>
  </si>
  <si>
    <t>Biểu mẫu số 2A</t>
  </si>
  <si>
    <t>Biểu mẫu số 2B</t>
  </si>
  <si>
    <t>Tỷ lệ % hòa giải thành/ tổng số việc hòa giải</t>
  </si>
  <si>
    <t xml:space="preserve">QUỐC TỊCH </t>
  </si>
  <si>
    <t>Nước ngoài</t>
  </si>
  <si>
    <t>Pháp y</t>
  </si>
  <si>
    <t>Pháp y tâm thần</t>
  </si>
  <si>
    <t>Kỹ thuật hình sự</t>
  </si>
  <si>
    <t>Đăng ký giao dịch bảo đảm bằng tàu bay hoặc tàu biển</t>
  </si>
  <si>
    <t>Đăng ký giao dịch bảo đảm bằng quyền sử dụng đất, tài sản gắn liền với đất</t>
  </si>
  <si>
    <t>An Giang</t>
  </si>
  <si>
    <t>Bắc Giang</t>
  </si>
  <si>
    <t>Bắc Kạn</t>
  </si>
  <si>
    <t>Bạc Liêu</t>
  </si>
  <si>
    <t>Bắc Ninh</t>
  </si>
  <si>
    <t>Bến Tre</t>
  </si>
  <si>
    <t>Bình Định</t>
  </si>
  <si>
    <t>Bình Dương</t>
  </si>
  <si>
    <t>Bình Phước</t>
  </si>
  <si>
    <t>Bình Thuận</t>
  </si>
  <si>
    <t>Cà Mau</t>
  </si>
  <si>
    <t>Cần Thơ</t>
  </si>
  <si>
    <t>Cao Bằng</t>
  </si>
  <si>
    <t>Đà Nẵng</t>
  </si>
  <si>
    <t>Đắk Lắk</t>
  </si>
  <si>
    <t>Đắk Nông</t>
  </si>
  <si>
    <t>Điện Biên</t>
  </si>
  <si>
    <t>Bộ Tài chính</t>
  </si>
  <si>
    <t>Bộ Tài nguyên và Môi trường</t>
  </si>
  <si>
    <t>Bộ Thông tin và Truyền thông</t>
  </si>
  <si>
    <t xml:space="preserve">Bộ Văn hóa, Thể thao và Du lịch </t>
  </si>
  <si>
    <t xml:space="preserve">Bộ Xây dựng </t>
  </si>
  <si>
    <t xml:space="preserve">Ngân hàng Nhà nước Việt Nam </t>
  </si>
  <si>
    <t>Thanh tra Chính phủ</t>
  </si>
  <si>
    <t>Ủy ban Dân tộc</t>
  </si>
  <si>
    <t xml:space="preserve">Bộ Công thương </t>
  </si>
  <si>
    <t>Bộ Giáo dục và Đào tạo</t>
  </si>
  <si>
    <t>Bộ Giao thông Vận tải</t>
  </si>
  <si>
    <t>Bộ Kế hoạch và Đầu tư</t>
  </si>
  <si>
    <t>Bộ Khoa học và Công nghệ</t>
  </si>
  <si>
    <t>Bộ Lao động, Thương binh và Xã hội</t>
  </si>
  <si>
    <t xml:space="preserve">Bộ Ngoại giao </t>
  </si>
  <si>
    <t xml:space="preserve">Bộ Nội vụ </t>
  </si>
  <si>
    <t>Bộ Nông nghiệp và Phát triển Nông thôn</t>
  </si>
  <si>
    <t>Đồng Nai</t>
  </si>
  <si>
    <t>Đồng Tháp</t>
  </si>
  <si>
    <t>Gia Lai</t>
  </si>
  <si>
    <t>Hà Giang</t>
  </si>
  <si>
    <t>Hà Nam</t>
  </si>
  <si>
    <t>Hà Nội</t>
  </si>
  <si>
    <t>Hà Tĩnh</t>
  </si>
  <si>
    <t>Hải Dương</t>
  </si>
  <si>
    <t>Hải Phòng</t>
  </si>
  <si>
    <t>Hậu Giang</t>
  </si>
  <si>
    <t>Hoà Bình</t>
  </si>
  <si>
    <t>Hưng Yên</t>
  </si>
  <si>
    <t>Khánh Hoà</t>
  </si>
  <si>
    <t>Kiên Giang</t>
  </si>
  <si>
    <t>Kon Tum</t>
  </si>
  <si>
    <t>Lai Châu</t>
  </si>
  <si>
    <t>Lâm Đồng</t>
  </si>
  <si>
    <t>Lạng Sơn</t>
  </si>
  <si>
    <t>Lào Cai</t>
  </si>
  <si>
    <t>Long An</t>
  </si>
  <si>
    <t>Nam Định</t>
  </si>
  <si>
    <t>Nghệ An</t>
  </si>
  <si>
    <t xml:space="preserve">Ninh Bình </t>
  </si>
  <si>
    <t>Ninh Thuận</t>
  </si>
  <si>
    <t>Phú Thọ</t>
  </si>
  <si>
    <t>Phú Yên</t>
  </si>
  <si>
    <t>Bộ Y tế</t>
  </si>
  <si>
    <t>Bộ Công An</t>
  </si>
  <si>
    <t>Bộ Quốc phòng</t>
  </si>
  <si>
    <t>Bộ Quốc Phòng</t>
  </si>
  <si>
    <t>Quảng Bình</t>
  </si>
  <si>
    <t>Quảng Nam</t>
  </si>
  <si>
    <t>Quảng Ngãi</t>
  </si>
  <si>
    <t>Quảng Ninh</t>
  </si>
  <si>
    <t>Quảng Trị</t>
  </si>
  <si>
    <t>Sóc Trăng</t>
  </si>
  <si>
    <t>Sơn La</t>
  </si>
  <si>
    <t>Tây Ninh</t>
  </si>
  <si>
    <t>Thái Bình</t>
  </si>
  <si>
    <t>Thái Nguyên</t>
  </si>
  <si>
    <t>Thanh Hoá</t>
  </si>
  <si>
    <t>Thừa Thiên Huế</t>
  </si>
  <si>
    <t>Tiền Giang</t>
  </si>
  <si>
    <t>TP.Hồ Chí Minh</t>
  </si>
  <si>
    <t>Trà Vinh</t>
  </si>
  <si>
    <t>Tuyên Quang</t>
  </si>
  <si>
    <t>Vĩnh Long</t>
  </si>
  <si>
    <t>Vĩnh Phúc</t>
  </si>
  <si>
    <t>Yên Bái</t>
  </si>
  <si>
    <t>Pháp lệnh, Nghị quyết của UB TVQH</t>
  </si>
  <si>
    <t>Bà Rịa - V. Tàu</t>
  </si>
  <si>
    <t>Ghi chú:</t>
  </si>
  <si>
    <t>Trung tâm ĐKGDTS tại HN</t>
  </si>
  <si>
    <t>Trung tâm ĐKGDTS tại TP.HCM</t>
  </si>
  <si>
    <t>Trung tâm ĐKGDTS tại Đà Nẵng</t>
  </si>
  <si>
    <t>Ủy ban dân tộc</t>
  </si>
  <si>
    <t>I. Tại các cơ quan ở Trung ương</t>
  </si>
  <si>
    <t>Bộ Công an</t>
  </si>
  <si>
    <r>
      <t xml:space="preserve">Số người đăng ký giữ quốc tịch Việt Nam  </t>
    </r>
    <r>
      <rPr>
        <sz val="8"/>
        <rFont val="Times New Roman"/>
        <family val="1"/>
      </rPr>
      <t>(Người)</t>
    </r>
  </si>
  <si>
    <r>
      <t xml:space="preserve">Số người thông báo có quốc tịch nước ngoài </t>
    </r>
    <r>
      <rPr>
        <sz val="7"/>
        <rFont val="Times New Roman"/>
        <family val="1"/>
      </rPr>
      <t>(Người)</t>
    </r>
  </si>
  <si>
    <r>
      <t xml:space="preserve">Số tổ chức hành nghề LS  tại địa phương </t>
    </r>
    <r>
      <rPr>
        <i/>
        <sz val="9"/>
        <rFont val="Times New Roman"/>
        <family val="1"/>
      </rPr>
      <t>(Tổ chức)</t>
    </r>
  </si>
  <si>
    <r>
      <t xml:space="preserve">Số LS hành nghề tại địa phương </t>
    </r>
    <r>
      <rPr>
        <i/>
        <sz val="9"/>
        <rFont val="Times New Roman"/>
        <family val="1"/>
      </rPr>
      <t>(Người)</t>
    </r>
  </si>
  <si>
    <r>
      <t>Số việc thực hiện</t>
    </r>
    <r>
      <rPr>
        <i/>
        <sz val="9"/>
        <rFont val="Times New Roman"/>
        <family val="1"/>
      </rPr>
      <t xml:space="preserve"> (Việc)</t>
    </r>
  </si>
  <si>
    <r>
      <t xml:space="preserve">Số tổ chức được cấp phép hành nghề tại Việt Nam </t>
    </r>
    <r>
      <rPr>
        <i/>
        <sz val="9"/>
        <rFont val="Times New Roman"/>
        <family val="1"/>
      </rPr>
      <t>(Tổ chức)</t>
    </r>
  </si>
  <si>
    <r>
      <t xml:space="preserve">Số LS được cấp phép hành nghề tại Việt Nam </t>
    </r>
    <r>
      <rPr>
        <i/>
        <sz val="9"/>
        <rFont val="Times New Roman"/>
        <family val="1"/>
      </rPr>
      <t>(Người)</t>
    </r>
  </si>
  <si>
    <r>
      <t xml:space="preserve">Số tổ chức BĐG tài sản </t>
    </r>
    <r>
      <rPr>
        <i/>
        <sz val="9"/>
        <rFont val="Times New Roman"/>
        <family val="1"/>
      </rPr>
      <t>(Tổ chức</t>
    </r>
  </si>
  <si>
    <r>
      <t xml:space="preserve">Số hợp đồng đã ký </t>
    </r>
    <r>
      <rPr>
        <i/>
        <sz val="9"/>
        <rFont val="Times New Roman"/>
        <family val="1"/>
      </rPr>
      <t>(Hợp đồng)</t>
    </r>
  </si>
  <si>
    <r>
      <t>Số cuộc bán đấu giá đã thực hiện</t>
    </r>
    <r>
      <rPr>
        <b/>
        <i/>
        <sz val="9"/>
        <rFont val="Times New Roman"/>
        <family val="1"/>
      </rPr>
      <t xml:space="preserve"> </t>
    </r>
    <r>
      <rPr>
        <i/>
        <sz val="9"/>
        <rFont val="Times New Roman"/>
        <family val="1"/>
      </rPr>
      <t>(Cuộc)</t>
    </r>
  </si>
  <si>
    <r>
      <t xml:space="preserve">Số tiền thu được </t>
    </r>
    <r>
      <rPr>
        <i/>
        <sz val="9"/>
        <rFont val="Times New Roman"/>
        <family val="1"/>
      </rPr>
      <t>(Nghìn đồng)</t>
    </r>
  </si>
  <si>
    <r>
      <t xml:space="preserve">Số lượng Đấu giá viên </t>
    </r>
    <r>
      <rPr>
        <i/>
        <sz val="7"/>
        <rFont val="Times New Roman"/>
        <family val="1"/>
      </rPr>
      <t>(Người)</t>
    </r>
  </si>
  <si>
    <r>
      <t>Đăng ký giao dịch bảo đảm, hợp đồng, thông báo kê biên tài sản là động sản</t>
    </r>
    <r>
      <rPr>
        <sz val="10"/>
        <rFont val="Times New Roman"/>
        <family val="1"/>
      </rPr>
      <t xml:space="preserve"> (trừ tàu bay, tàu biển)</t>
    </r>
  </si>
  <si>
    <t xml:space="preserve"> </t>
  </si>
  <si>
    <t>tổng lệch chi tiết</t>
  </si>
  <si>
    <t xml:space="preserve">VB không phải là VB QPPL nhưng có chứa QPPL </t>
  </si>
  <si>
    <r>
      <t xml:space="preserve">Doanh thu </t>
    </r>
    <r>
      <rPr>
        <i/>
        <sz val="10"/>
        <rFont val="Times New Roman"/>
        <family val="1"/>
      </rPr>
      <t>(Nghìn đồng)</t>
    </r>
  </si>
  <si>
    <t xml:space="preserve">II. Tại các địa phương </t>
  </si>
  <si>
    <t xml:space="preserve">Bộ Tư pháp </t>
  </si>
  <si>
    <t>Ô để trống</t>
  </si>
  <si>
    <t>VB không phải là VB QPPL</t>
  </si>
  <si>
    <t xml:space="preserve">                                 </t>
  </si>
  <si>
    <r>
      <t>Năm 2013</t>
    </r>
    <r>
      <rPr>
        <i/>
        <sz val="14"/>
        <color indexed="8"/>
        <rFont val="Times New Roman"/>
        <family val="1"/>
      </rPr>
      <t xml:space="preserve"> (từ 01/10/2012 đến 30/9/2013)</t>
    </r>
  </si>
  <si>
    <r>
      <t xml:space="preserve">Năm 2013 </t>
    </r>
    <r>
      <rPr>
        <sz val="14"/>
        <color indexed="8"/>
        <rFont val="Times New Roman"/>
        <family val="1"/>
      </rPr>
      <t>(từ 01/10/2012 đến 30/9/2013)</t>
    </r>
  </si>
  <si>
    <r>
      <t xml:space="preserve">Năm 2013 </t>
    </r>
    <r>
      <rPr>
        <sz val="14"/>
        <rFont val="Times New Roman"/>
        <family val="1"/>
      </rPr>
      <t>(từ 01/10/2012 đến 30/9/2013)</t>
    </r>
  </si>
  <si>
    <t>Cột 3: hết hiệu lực toàn bộ: 166, hết hiệu lực 1 phần: 53</t>
  </si>
  <si>
    <t>Hưng Yên: báo cáo sai thể thức</t>
  </si>
  <si>
    <r>
      <t>Năm 2013</t>
    </r>
    <r>
      <rPr>
        <sz val="14"/>
        <rFont val="Times New Roman"/>
        <family val="1"/>
      </rPr>
      <t xml:space="preserve"> (từ 01/10/2012 đến 30/9/2013)</t>
    </r>
  </si>
  <si>
    <r>
      <t xml:space="preserve">Năm 2013 </t>
    </r>
    <r>
      <rPr>
        <sz val="12"/>
        <rFont val="Times New Roman"/>
        <family val="1"/>
      </rPr>
      <t>(từ 01/10/2012 đến 30/9/2013)</t>
    </r>
  </si>
  <si>
    <t>I. Tại cơ quan đại diện ngoại giao ở nước ngoài</t>
  </si>
  <si>
    <t>Tại các Bộ, ngành ở Trung ương: Tổng số thu lý là 02 vụ việc; đã giải quyết xong 01 vụ việc; số tiền phải bồi thường cho người bị thiệt hại là 650.000.000 đồng.</t>
  </si>
  <si>
    <t>Tại địa phương: Tổng số thụ lý là 17 vụ việc; đã giải quyết xong 09 vụ việc; số tiền phải bồi thường cho người bị thiệt hại là 6.339.594.000 đồng; số tiền đã chi trả cho người bị thiệt hai là 1.376.579.000 đồng.</t>
  </si>
  <si>
    <t>Bắc Kạn, do PCC số 3 chỉ có số liệu tổng việc mà không có số liệu công chứng chi tiết cho từng loại HĐ, GD và các GD khác nên số tổng tại cột 7 lớn hơn số chi tiết tại cột 8,9.</t>
  </si>
  <si>
    <t>Hà Nội: Số liệu thống kê về tổng số vụ việc trong lĩnh vực luật sư là 34.214 vụ việc, là số liệu do Bộ Tư pháp tổng hợp từ các cột số liệu thống kê chi tiết trong báo cáo của Hà Nội (trong báo cáo của Hà Nội, cột tống số vụ việc chỉ là 870 vụ việc).</t>
  </si>
  <si>
    <t>Thành phố Hồ Chí Minh: Số liệu báo cáo thống kê trong lĩnh vực luật sư được Sở Tư pháp tổng hợp từ báo cáo của 806/1.395 tổ chức hành nghề luật sư và 1/31 luật sư hành nghề với tư cách cá nhân)</t>
  </si>
  <si>
    <t>Trên đây là số liệu tổng hợp từ báo cáo thống kê của các bộ, ngành và địa phương. Tuy nhiên, theo số liệu tổng hợp của Bộ Tư pháp (Cục Bồi thường nhà nước) thì số liệu về bồi thường nhà nước trong trong lĩnh vực quản lý hành chính (đã bóc tách các vụ việc bồi thường trong lĩnh vực tố tụng và thi hành án dân sự) năm 2013 như sau:</t>
  </si>
  <si>
    <r>
      <t>Trên địa bàn cả nước: Tổng số thụ lý là 19 vụ việc</t>
    </r>
    <r>
      <rPr>
        <sz val="10"/>
        <rFont val="Times New Roman"/>
        <family val="1"/>
      </rPr>
      <t xml:space="preserve">; trong đó </t>
    </r>
    <r>
      <rPr>
        <b/>
        <sz val="10"/>
        <rFont val="Times New Roman"/>
        <family val="1"/>
      </rPr>
      <t>đã giải quyết xong là 10 vụ việc</t>
    </r>
    <r>
      <rPr>
        <sz val="10"/>
        <rFont val="Times New Roman"/>
        <family val="1"/>
      </rPr>
      <t>;số tiền phải bồi thường cho người bị thiệt hại là 6.989.594.000 đồng; số tiền đã chi trả cho người bị thiệt hại là 1.376.579.000 đồng.</t>
    </r>
  </si>
  <si>
    <t>333: Hội đồng bán đấu giá tài sản cấp huyện</t>
  </si>
  <si>
    <t>Lĩnh vực luật sư:</t>
  </si>
  <si>
    <t>310: Tổ chức bán đấu giá chuyên nghiệp (Trung tâm dịch vụ bán đấu giá và doanh nghiệp bán đấu giá)</t>
  </si>
  <si>
    <t>Cột 10: Số tổ chức bán đấu giá tài sản: 646 tổ chức, gồm:</t>
  </si>
  <si>
    <t xml:space="preserve">  03: Hội đồng bán đấu giá trong trường hợp đặc biệt (Đắk Lắk, Đắk Nông và Kon Tum).</t>
  </si>
  <si>
    <t xml:space="preserve">TỔNG HỢP SỐ LIỆU THỐNG KÊ VỀ HOẠT ĐỘNG RÀ SOÁT VĂN BẢN                                   </t>
  </si>
  <si>
    <t xml:space="preserve">QUY PHẠM PHÁP LUẬT </t>
  </si>
  <si>
    <t>(Số liệu cập nhật đến ngày 27/12/2013)</t>
  </si>
  <si>
    <t>Ô có dấu "-"</t>
  </si>
  <si>
    <t>: Không có số liệu phát sinh</t>
  </si>
  <si>
    <t>: Đơn vị chưa gửi báo cáo hoặc đã gửi báo cáo nhưng để trống ô số liệu</t>
  </si>
  <si>
    <t>Hà Nội, Vĩnh Phúc: báo cáo thiếu số liệu thống kê chi tiết về số việc công chứng</t>
  </si>
  <si>
    <t>Lĩnh vực bán đấu giá tài sản:</t>
  </si>
  <si>
    <t>Cột 13: Theo số liệu quản lý của Bộ Tư pháp (Cục con nuôi), năm 2013 số đăng ký nuôi con nuôi có yếu tố nước ngoài là 365 trường hợp trong số 360 hồ sơ giải quyết xong/397 hồ sơ đã nộp (chênh lệch giữa số hồ sơ giải quyết xong và số trẻ em là do trong một số hồ sơ xin nhận 2 trẻ làm con nuôi). Trong đó, số trẻ có tình trạng sức khỏe đặc biệt là 188.</t>
  </si>
  <si>
    <t>Số liệu giám định của các bộ, ngành (trừ Bộ Quốc phòng) và các địa phương: Hà Nội, Khánh Hòa, Nình Thuận: theo số liệu quản lý của Bộ Tư pháp (Cục Bổ trợ Tư pháp)</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</si>
</sst>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Red]0"/>
    <numFmt numFmtId="181" formatCode="_(* #,##0_);_(* \(#,##0\);_(* &quot;-&quot;??_);_(@_)"/>
    <numFmt numFmtId="182" formatCode="#,##0.0_);\(#,##0.0\)"/>
    <numFmt numFmtId="183" formatCode="0.0000"/>
    <numFmt numFmtId="184" formatCode="0.00000"/>
    <numFmt numFmtId="185" formatCode="\(0\)"/>
    <numFmt numFmtId="186" formatCode="&quot;Yes&quot;;&quot;Yes&quot;;&quot;No&quot;"/>
    <numFmt numFmtId="187" formatCode="&quot;True&quot;;&quot;True&quot;;&quot;False&quot;"/>
    <numFmt numFmtId="188" formatCode="&quot;On&quot;;&quot;On&quot;;&quot;Off&quot;"/>
    <numFmt numFmtId="189" formatCode="[$€-2]\ #,##0.00_);[Red]\([$€-2]\ #,##0.00\)"/>
    <numFmt numFmtId="190" formatCode="000\-00\-0000"/>
    <numFmt numFmtId="191" formatCode="_(* #,##0.0_);_(* \(#,##0.0\);_(* &quot;-&quot;??_);_(@_)"/>
    <numFmt numFmtId="192" formatCode="_(* #,##0.000_);_(* \(#,##0.000\);_(* &quot;-&quot;??_);_(@_)"/>
    <numFmt numFmtId="193" formatCode="_(* #,##0.000000_);_(* \(#,##0.000000\);_(* &quot;-&quot;??_);_(@_)"/>
    <numFmt numFmtId="194" formatCode="0.000"/>
    <numFmt numFmtId="195" formatCode="#,##0.0"/>
    <numFmt numFmtId="196" formatCode="_(* #,##0.0000_);_(* \(#,##0.0000\);_(* &quot;-&quot;??_);_(@_)"/>
    <numFmt numFmtId="197" formatCode="&quot;$&quot;#,##0.00"/>
    <numFmt numFmtId="198" formatCode="_(* #.##0.0_);_(* \(#.##0.0\);_(* &quot;-&quot;??_);_(@_)"/>
    <numFmt numFmtId="199" formatCode="_(* #.##0._);_(* \(#.##0.\);_(* &quot;-&quot;??_);_(@_)"/>
    <numFmt numFmtId="200" formatCode="_(* #.##._);_(* \(#.##.\);_(* &quot;-&quot;??_);_(@_ⴆ"/>
    <numFmt numFmtId="201" formatCode="_(* #.#._);_(* \(#.#.\);_(* &quot;-&quot;??_);_(@_ⴆ"/>
    <numFmt numFmtId="202" formatCode="_(* #.;_(* \(#.;_(* &quot;-&quot;??_);_(@_ⴆ"/>
    <numFmt numFmtId="203" formatCode="_(* #.##0_);_(* \(#.##0\);_(* &quot;-&quot;??_);_(@_)"/>
    <numFmt numFmtId="204" formatCode="_(* #.##_);_(* \(#.##\);_(* &quot;-&quot;??_);_(@_)"/>
    <numFmt numFmtId="205" formatCode="_(* #.#_);_(* \(#.#\);_(* &quot;-&quot;??_);_(@_)"/>
    <numFmt numFmtId="206" formatCode="[$-409]dddd\,\ mmmm\ dd\,\ yyyy"/>
    <numFmt numFmtId="207" formatCode="[$-409]h:mm:ss\ AM/PM"/>
    <numFmt numFmtId="208" formatCode="00000"/>
    <numFmt numFmtId="209" formatCode="#.##0"/>
    <numFmt numFmtId="210" formatCode="_(* #,##0_);_(* \(#,##0\);_(* &quot;-&quot;&quot;?&quot;&quot;?&quot;_);_(@_)"/>
  </numFmts>
  <fonts count="95">
    <font>
      <sz val="10"/>
      <name val="Arial"/>
      <family val="0"/>
    </font>
    <font>
      <sz val="11"/>
      <color indexed="8"/>
      <name val="Calibri"/>
      <family val="2"/>
    </font>
    <font>
      <sz val="9"/>
      <color indexed="8"/>
      <name val="Arial"/>
      <family val="2"/>
    </font>
    <font>
      <sz val="10"/>
      <color indexed="8"/>
      <name val="Arial"/>
      <family val="2"/>
    </font>
    <font>
      <b/>
      <sz val="13"/>
      <color indexed="8"/>
      <name val="Times New Roman"/>
      <family val="1"/>
    </font>
    <font>
      <i/>
      <sz val="12"/>
      <color indexed="8"/>
      <name val="Times New Roman"/>
      <family val="1"/>
    </font>
    <font>
      <b/>
      <i/>
      <sz val="8"/>
      <name val="Arial"/>
      <family val="2"/>
    </font>
    <font>
      <sz val="12"/>
      <name val="Times New Roman"/>
      <family val="1"/>
    </font>
    <font>
      <sz val="10"/>
      <color indexed="10"/>
      <name val="Arial"/>
      <family val="2"/>
    </font>
    <font>
      <sz val="10"/>
      <color indexed="12"/>
      <name val="Arial"/>
      <family val="2"/>
    </font>
    <font>
      <b/>
      <sz val="10"/>
      <name val="Arial"/>
      <family val="2"/>
    </font>
    <font>
      <sz val="8"/>
      <name val="Arial"/>
      <family val="2"/>
    </font>
    <font>
      <b/>
      <i/>
      <sz val="8"/>
      <color indexed="8"/>
      <name val="Arial"/>
      <family val="2"/>
    </font>
    <font>
      <b/>
      <sz val="13"/>
      <name val="Arial"/>
      <family val="2"/>
    </font>
    <font>
      <b/>
      <sz val="12"/>
      <name val="Times New Roman"/>
      <family val="1"/>
    </font>
    <font>
      <sz val="10"/>
      <name val="Times New Roman"/>
      <family val="1"/>
    </font>
    <font>
      <sz val="14"/>
      <name val="Arial"/>
      <family val="2"/>
    </font>
    <font>
      <b/>
      <sz val="14"/>
      <color indexed="8"/>
      <name val="Times New Roman"/>
      <family val="1"/>
    </font>
    <font>
      <i/>
      <sz val="14"/>
      <color indexed="8"/>
      <name val="Times New Roman"/>
      <family val="1"/>
    </font>
    <font>
      <b/>
      <sz val="14"/>
      <name val="Times New Roman"/>
      <family val="1"/>
    </font>
    <font>
      <b/>
      <sz val="13"/>
      <name val="Times New Roman"/>
      <family val="1"/>
    </font>
    <font>
      <i/>
      <sz val="14"/>
      <name val="Times New Roman"/>
      <family val="1"/>
    </font>
    <font>
      <sz val="12"/>
      <color indexed="8"/>
      <name val="Times New Roman"/>
      <family val="1"/>
    </font>
    <font>
      <sz val="12"/>
      <color indexed="8"/>
      <name val="Arial"/>
      <family val="2"/>
    </font>
    <font>
      <sz val="12"/>
      <name val="Arial"/>
      <family val="2"/>
    </font>
    <font>
      <b/>
      <sz val="12"/>
      <color indexed="8"/>
      <name val="Times New Roman"/>
      <family val="1"/>
    </font>
    <font>
      <i/>
      <sz val="12"/>
      <color indexed="8"/>
      <name val="Arial"/>
      <family val="2"/>
    </font>
    <font>
      <sz val="11"/>
      <name val="Times New Roman"/>
      <family val="1"/>
    </font>
    <font>
      <i/>
      <sz val="12"/>
      <name val="Times New Roman"/>
      <family val="1"/>
    </font>
    <font>
      <b/>
      <sz val="10"/>
      <name val="Times New Roman"/>
      <family val="1"/>
    </font>
    <font>
      <i/>
      <sz val="10"/>
      <name val="Times New Roman"/>
      <family val="1"/>
    </font>
    <font>
      <sz val="14"/>
      <color indexed="8"/>
      <name val="Arial"/>
      <family val="2"/>
    </font>
    <font>
      <sz val="14"/>
      <name val="Times New Roman"/>
      <family val="1"/>
    </font>
    <font>
      <sz val="12"/>
      <color indexed="10"/>
      <name val="Times New Roman"/>
      <family val="1"/>
    </font>
    <font>
      <b/>
      <i/>
      <sz val="10"/>
      <name val="Times New Roman"/>
      <family val="1"/>
    </font>
    <font>
      <b/>
      <sz val="10"/>
      <color indexed="8"/>
      <name val="Times New Roman"/>
      <family val="1"/>
    </font>
    <font>
      <i/>
      <sz val="10"/>
      <color indexed="8"/>
      <name val="Times New Roman"/>
      <family val="1"/>
    </font>
    <font>
      <u val="single"/>
      <sz val="10"/>
      <color indexed="12"/>
      <name val="Arial"/>
      <family val="2"/>
    </font>
    <font>
      <u val="single"/>
      <sz val="10"/>
      <color indexed="36"/>
      <name val="Arial"/>
      <family val="2"/>
    </font>
    <font>
      <sz val="10"/>
      <color indexed="8"/>
      <name val="Times New Roman"/>
      <family val="1"/>
    </font>
    <font>
      <sz val="13"/>
      <name val="Times New Roman"/>
      <family val="1"/>
    </font>
    <font>
      <b/>
      <sz val="11"/>
      <name val="Times New Roman"/>
      <family val="1"/>
    </font>
    <font>
      <i/>
      <sz val="10"/>
      <name val="Arial"/>
      <family val="2"/>
    </font>
    <font>
      <i/>
      <sz val="11"/>
      <name val="Times New Roman"/>
      <family val="1"/>
    </font>
    <font>
      <sz val="9"/>
      <name val="Times New Roman"/>
      <family val="1"/>
    </font>
    <font>
      <sz val="13"/>
      <name val="Arial"/>
      <family val="2"/>
    </font>
    <font>
      <b/>
      <i/>
      <sz val="12"/>
      <name val="Times New Roman"/>
      <family val="1"/>
    </font>
    <font>
      <sz val="12"/>
      <color indexed="12"/>
      <name val="Times New Roman"/>
      <family val="1"/>
    </font>
    <font>
      <sz val="10"/>
      <color indexed="10"/>
      <name val="Times New Roman"/>
      <family val="1"/>
    </font>
    <font>
      <sz val="11"/>
      <name val="Arial"/>
      <family val="2"/>
    </font>
    <font>
      <sz val="8"/>
      <name val="Times New Roman"/>
      <family val="1"/>
    </font>
    <font>
      <sz val="7"/>
      <name val="Times New Roman"/>
      <family val="1"/>
    </font>
    <font>
      <b/>
      <sz val="9"/>
      <name val="Times New Roman"/>
      <family val="1"/>
    </font>
    <font>
      <i/>
      <sz val="9"/>
      <name val="Times New Roman"/>
      <family val="1"/>
    </font>
    <font>
      <b/>
      <i/>
      <sz val="9"/>
      <name val="Times New Roman"/>
      <family val="1"/>
    </font>
    <font>
      <i/>
      <sz val="7"/>
      <name val="Times New Roman"/>
      <family val="1"/>
    </font>
    <font>
      <b/>
      <i/>
      <sz val="11"/>
      <name val="Times New Roman"/>
      <family val="1"/>
    </font>
    <font>
      <sz val="14"/>
      <color indexed="8"/>
      <name val="Times New Roman"/>
      <family val="1"/>
    </font>
    <font>
      <b/>
      <sz val="8"/>
      <name val="Times New Roman"/>
      <family val="1"/>
    </font>
    <font>
      <b/>
      <i/>
      <sz val="8"/>
      <name val="Times New Roman"/>
      <family val="1"/>
    </font>
    <font>
      <sz val="7"/>
      <name val="Arial"/>
      <family val="2"/>
    </font>
    <font>
      <sz val="11"/>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0" fontId="8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38" fillId="0" borderId="0" applyNumberFormat="0" applyFill="0" applyBorder="0" applyAlignment="0" applyProtection="0"/>
    <xf numFmtId="0" fontId="84" fillId="28"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37" fillId="0" borderId="0" applyNumberFormat="0" applyFill="0" applyBorder="0" applyAlignment="0" applyProtection="0"/>
    <xf numFmtId="0" fontId="88" fillId="29" borderId="1" applyNumberFormat="0" applyAlignment="0" applyProtection="0"/>
    <xf numFmtId="0" fontId="89" fillId="0" borderId="6" applyNumberFormat="0" applyFill="0" applyAlignment="0" applyProtection="0"/>
    <xf numFmtId="0" fontId="9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91" fillId="26" borderId="8" applyNumberFormat="0" applyAlignment="0" applyProtection="0"/>
    <xf numFmtId="9" fontId="0" fillId="0" borderId="0" applyFon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0" borderId="0" applyNumberFormat="0" applyFill="0" applyBorder="0" applyAlignment="0" applyProtection="0"/>
  </cellStyleXfs>
  <cellXfs count="450">
    <xf numFmtId="0" fontId="0" fillId="0" borderId="0" xfId="0" applyAlignment="1">
      <alignment/>
    </xf>
    <xf numFmtId="0" fontId="3" fillId="0" borderId="0" xfId="0" applyFont="1" applyFill="1" applyAlignment="1">
      <alignment/>
    </xf>
    <xf numFmtId="0" fontId="5" fillId="0" borderId="0" xfId="0" applyFont="1" applyFill="1" applyAlignment="1">
      <alignment/>
    </xf>
    <xf numFmtId="0" fontId="0" fillId="0" borderId="0" xfId="57" applyFont="1" applyFill="1">
      <alignment/>
      <protection/>
    </xf>
    <xf numFmtId="0" fontId="2" fillId="0" borderId="0" xfId="0" applyFont="1" applyFill="1" applyBorder="1" applyAlignment="1">
      <alignment/>
    </xf>
    <xf numFmtId="0" fontId="12"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xf>
    <xf numFmtId="0" fontId="9" fillId="0" borderId="0" xfId="0" applyFont="1" applyFill="1" applyBorder="1" applyAlignment="1">
      <alignment/>
    </xf>
    <xf numFmtId="1" fontId="9" fillId="0" borderId="0" xfId="0" applyNumberFormat="1" applyFont="1" applyFill="1" applyBorder="1" applyAlignment="1">
      <alignment horizontal="center" vertical="center"/>
    </xf>
    <xf numFmtId="0" fontId="10" fillId="0" borderId="0" xfId="57" applyFont="1" applyFill="1" applyAlignment="1">
      <alignment horizontal="center" vertical="center"/>
      <protection/>
    </xf>
    <xf numFmtId="0" fontId="13" fillId="0" borderId="0" xfId="57" applyFont="1" applyFill="1">
      <alignment/>
      <protection/>
    </xf>
    <xf numFmtId="180" fontId="0" fillId="0" borderId="0" xfId="57" applyNumberFormat="1" applyFont="1" applyFill="1">
      <alignment/>
      <protection/>
    </xf>
    <xf numFmtId="180" fontId="3" fillId="0" borderId="0" xfId="0" applyNumberFormat="1" applyFont="1" applyFill="1" applyAlignment="1">
      <alignment/>
    </xf>
    <xf numFmtId="2" fontId="3" fillId="0" borderId="0" xfId="0" applyNumberFormat="1" applyFont="1" applyFill="1" applyAlignment="1">
      <alignment/>
    </xf>
    <xf numFmtId="0" fontId="0" fillId="0" borderId="0" xfId="0" applyFill="1" applyAlignment="1">
      <alignment/>
    </xf>
    <xf numFmtId="0" fontId="23" fillId="0" borderId="0" xfId="0" applyFont="1" applyFill="1" applyAlignment="1">
      <alignment/>
    </xf>
    <xf numFmtId="0" fontId="25" fillId="0" borderId="0" xfId="0" applyFont="1" applyFill="1" applyAlignment="1">
      <alignment/>
    </xf>
    <xf numFmtId="0" fontId="26" fillId="0" borderId="0" xfId="0" applyFont="1" applyFill="1" applyAlignment="1">
      <alignment/>
    </xf>
    <xf numFmtId="2" fontId="26" fillId="0" borderId="0" xfId="0" applyNumberFormat="1" applyFont="1" applyFill="1" applyAlignment="1">
      <alignment/>
    </xf>
    <xf numFmtId="0" fontId="26" fillId="0" borderId="0" xfId="0" applyFont="1" applyFill="1" applyAlignment="1">
      <alignment horizontal="center" vertical="center"/>
    </xf>
    <xf numFmtId="0" fontId="24" fillId="0" borderId="0" xfId="0" applyFont="1" applyFill="1" applyAlignment="1">
      <alignment/>
    </xf>
    <xf numFmtId="0" fontId="22" fillId="0" borderId="0" xfId="0" applyFont="1" applyFill="1" applyAlignment="1">
      <alignment/>
    </xf>
    <xf numFmtId="0" fontId="8" fillId="0" borderId="0" xfId="0" applyFont="1" applyFill="1" applyBorder="1" applyAlignment="1">
      <alignment/>
    </xf>
    <xf numFmtId="49" fontId="15" fillId="0" borderId="10" xfId="0" applyNumberFormat="1" applyFont="1" applyFill="1" applyBorder="1" applyAlignment="1">
      <alignment horizontal="center" vertical="center" wrapText="1"/>
    </xf>
    <xf numFmtId="184" fontId="6" fillId="0" borderId="0" xfId="0" applyNumberFormat="1" applyFont="1" applyFill="1" applyBorder="1" applyAlignment="1">
      <alignment horizontal="center" vertical="center" wrapText="1"/>
    </xf>
    <xf numFmtId="0" fontId="31" fillId="0" borderId="0" xfId="0" applyFont="1" applyFill="1" applyAlignment="1">
      <alignment/>
    </xf>
    <xf numFmtId="0" fontId="16" fillId="0" borderId="0" xfId="0" applyFont="1" applyFill="1" applyAlignment="1">
      <alignment/>
    </xf>
    <xf numFmtId="0" fontId="32" fillId="0" borderId="0" xfId="57" applyFont="1" applyFill="1">
      <alignment/>
      <protection/>
    </xf>
    <xf numFmtId="180" fontId="32" fillId="0" borderId="0" xfId="57" applyNumberFormat="1" applyFont="1" applyFill="1">
      <alignment/>
      <protection/>
    </xf>
    <xf numFmtId="49" fontId="7" fillId="0" borderId="0" xfId="57" applyNumberFormat="1" applyFont="1" applyFill="1" applyAlignment="1">
      <alignment/>
      <protection/>
    </xf>
    <xf numFmtId="0" fontId="20" fillId="0" borderId="0" xfId="57" applyFont="1" applyFill="1" applyAlignment="1">
      <alignment horizontal="left" vertical="top"/>
      <protection/>
    </xf>
    <xf numFmtId="0" fontId="19" fillId="0" borderId="0" xfId="57" applyFont="1" applyFill="1" applyAlignment="1">
      <alignment horizontal="center"/>
      <protection/>
    </xf>
    <xf numFmtId="0" fontId="15" fillId="0" borderId="0" xfId="0" applyFont="1" applyFill="1" applyAlignment="1">
      <alignment/>
    </xf>
    <xf numFmtId="0" fontId="19" fillId="0" borderId="0" xfId="57" applyFont="1" applyFill="1" applyAlignment="1">
      <alignment/>
      <protection/>
    </xf>
    <xf numFmtId="0" fontId="19" fillId="0" borderId="0" xfId="0" applyFont="1" applyFill="1" applyAlignment="1">
      <alignment/>
    </xf>
    <xf numFmtId="0" fontId="4" fillId="0" borderId="0" xfId="0" applyFont="1" applyFill="1" applyAlignment="1">
      <alignment horizontal="left" vertical="top"/>
    </xf>
    <xf numFmtId="49" fontId="15" fillId="0" borderId="10" xfId="57" applyNumberFormat="1" applyFont="1" applyFill="1" applyBorder="1" applyAlignment="1">
      <alignment horizontal="center" vertical="center" wrapText="1"/>
      <protection/>
    </xf>
    <xf numFmtId="0" fontId="15" fillId="0" borderId="10" xfId="0" applyFont="1" applyFill="1" applyBorder="1" applyAlignment="1">
      <alignment horizontal="center" vertical="center" wrapText="1"/>
    </xf>
    <xf numFmtId="0" fontId="35" fillId="0" borderId="0" xfId="0" applyFont="1" applyFill="1" applyAlignment="1">
      <alignment/>
    </xf>
    <xf numFmtId="0" fontId="36" fillId="0" borderId="0" xfId="0" applyFont="1" applyFill="1" applyAlignment="1">
      <alignment/>
    </xf>
    <xf numFmtId="1" fontId="0" fillId="0" borderId="0" xfId="0" applyNumberFormat="1" applyFont="1" applyFill="1" applyBorder="1" applyAlignment="1">
      <alignment horizontal="center" vertical="center"/>
    </xf>
    <xf numFmtId="0" fontId="28" fillId="0" borderId="0" xfId="0" applyFont="1" applyFill="1" applyAlignment="1">
      <alignment/>
    </xf>
    <xf numFmtId="49" fontId="15" fillId="0" borderId="0" xfId="57" applyNumberFormat="1" applyFont="1" applyFill="1" applyAlignment="1">
      <alignment/>
      <protection/>
    </xf>
    <xf numFmtId="185" fontId="15" fillId="0" borderId="10" xfId="0" applyNumberFormat="1" applyFont="1" applyFill="1" applyBorder="1" applyAlignment="1">
      <alignment horizontal="center" vertical="center" wrapText="1"/>
    </xf>
    <xf numFmtId="185" fontId="15" fillId="0" borderId="11" xfId="0" applyNumberFormat="1" applyFont="1" applyFill="1" applyBorder="1" applyAlignment="1">
      <alignment horizontal="center" vertical="center" wrapText="1"/>
    </xf>
    <xf numFmtId="0" fontId="21" fillId="0" borderId="0" xfId="60" applyFont="1" applyFill="1" applyAlignment="1">
      <alignment horizontal="center" vertical="center"/>
      <protection/>
    </xf>
    <xf numFmtId="0" fontId="0" fillId="0" borderId="0" xfId="0" applyFont="1" applyFill="1" applyAlignment="1">
      <alignment/>
    </xf>
    <xf numFmtId="0" fontId="29" fillId="0" borderId="10" xfId="57" applyFont="1" applyFill="1" applyBorder="1" applyAlignment="1">
      <alignment horizontal="left"/>
      <protection/>
    </xf>
    <xf numFmtId="185" fontId="15" fillId="0" borderId="10" xfId="57" applyNumberFormat="1" applyFont="1" applyFill="1" applyBorder="1" applyAlignment="1">
      <alignment horizontal="center" vertical="center" wrapText="1"/>
      <protection/>
    </xf>
    <xf numFmtId="0" fontId="4" fillId="0" borderId="0" xfId="0" applyFont="1" applyFill="1" applyAlignment="1">
      <alignment vertical="top"/>
    </xf>
    <xf numFmtId="0" fontId="40" fillId="0" borderId="0" xfId="57" applyFont="1" applyFill="1" applyAlignment="1">
      <alignment horizontal="left" vertical="top"/>
      <protection/>
    </xf>
    <xf numFmtId="0" fontId="32" fillId="0" borderId="0" xfId="57" applyFont="1" applyFill="1" applyAlignment="1">
      <alignment horizontal="center"/>
      <protection/>
    </xf>
    <xf numFmtId="185" fontId="15" fillId="0" borderId="0" xfId="0" applyNumberFormat="1" applyFont="1" applyFill="1" applyAlignment="1">
      <alignment/>
    </xf>
    <xf numFmtId="0" fontId="21" fillId="0" borderId="0" xfId="58" applyFont="1" applyFill="1" applyAlignment="1">
      <alignment horizontal="center" vertical="center"/>
      <protection/>
    </xf>
    <xf numFmtId="0" fontId="29" fillId="0" borderId="12" xfId="58" applyFont="1" applyFill="1" applyBorder="1" applyAlignment="1">
      <alignment horizontal="left"/>
      <protection/>
    </xf>
    <xf numFmtId="0" fontId="29" fillId="0" borderId="10" xfId="58" applyFont="1" applyFill="1" applyBorder="1" applyAlignment="1">
      <alignment horizontal="left"/>
      <protection/>
    </xf>
    <xf numFmtId="0" fontId="29" fillId="0" borderId="13" xfId="58" applyFont="1" applyFill="1" applyBorder="1" applyAlignment="1">
      <alignment horizontal="left"/>
      <protection/>
    </xf>
    <xf numFmtId="0" fontId="0" fillId="0" borderId="0" xfId="0" applyFill="1" applyAlignment="1">
      <alignment/>
    </xf>
    <xf numFmtId="185" fontId="0" fillId="0" borderId="10" xfId="0" applyNumberFormat="1" applyFill="1" applyBorder="1" applyAlignment="1">
      <alignment horizontal="center"/>
    </xf>
    <xf numFmtId="185" fontId="0" fillId="0" borderId="0" xfId="0" applyNumberFormat="1" applyFill="1" applyAlignment="1">
      <alignment horizontal="center"/>
    </xf>
    <xf numFmtId="0" fontId="20" fillId="0" borderId="0" xfId="57" applyFont="1" applyFill="1" applyAlignment="1">
      <alignment vertical="top"/>
      <protection/>
    </xf>
    <xf numFmtId="0" fontId="0" fillId="0" borderId="0" xfId="0" applyFont="1" applyFill="1" applyAlignment="1">
      <alignment/>
    </xf>
    <xf numFmtId="0" fontId="45" fillId="0" borderId="0" xfId="57" applyFont="1" applyFill="1">
      <alignment/>
      <protection/>
    </xf>
    <xf numFmtId="0" fontId="15" fillId="0" borderId="10" xfId="0" applyFont="1" applyFill="1" applyBorder="1" applyAlignment="1">
      <alignment horizontal="center" vertical="center" wrapText="1"/>
    </xf>
    <xf numFmtId="185" fontId="15" fillId="0" borderId="10" xfId="0" applyNumberFormat="1" applyFont="1" applyFill="1" applyBorder="1" applyAlignment="1">
      <alignment horizontal="center" vertical="center" wrapText="1"/>
    </xf>
    <xf numFmtId="181" fontId="7" fillId="0" borderId="10" xfId="42" applyNumberFormat="1" applyFont="1" applyFill="1" applyBorder="1" applyAlignment="1">
      <alignment horizontal="right" vertical="center"/>
    </xf>
    <xf numFmtId="181" fontId="7" fillId="0" borderId="10" xfId="42" applyNumberFormat="1" applyFont="1" applyFill="1" applyBorder="1" applyAlignment="1">
      <alignment horizontal="left"/>
    </xf>
    <xf numFmtId="0" fontId="7" fillId="0" borderId="10" xfId="0" applyFont="1" applyFill="1" applyBorder="1" applyAlignment="1">
      <alignment wrapText="1"/>
    </xf>
    <xf numFmtId="181" fontId="7" fillId="0" borderId="10" xfId="42" applyNumberFormat="1" applyFont="1" applyFill="1" applyBorder="1" applyAlignment="1">
      <alignment horizontal="center" vertical="center" wrapText="1"/>
    </xf>
    <xf numFmtId="181" fontId="7" fillId="0" borderId="0" xfId="42" applyNumberFormat="1" applyFont="1" applyFill="1" applyAlignment="1">
      <alignment/>
    </xf>
    <xf numFmtId="181" fontId="24" fillId="0" borderId="0" xfId="42" applyNumberFormat="1" applyFont="1" applyFill="1" applyAlignment="1">
      <alignment/>
    </xf>
    <xf numFmtId="181" fontId="7" fillId="0" borderId="0" xfId="42" applyNumberFormat="1" applyFont="1" applyFill="1" applyAlignment="1">
      <alignment/>
    </xf>
    <xf numFmtId="181" fontId="4" fillId="0" borderId="0" xfId="42" applyNumberFormat="1" applyFont="1" applyFill="1" applyAlignment="1">
      <alignment horizontal="left" vertical="top"/>
    </xf>
    <xf numFmtId="181" fontId="36" fillId="0" borderId="0" xfId="42" applyNumberFormat="1" applyFont="1" applyFill="1" applyAlignment="1">
      <alignment/>
    </xf>
    <xf numFmtId="181" fontId="7" fillId="0" borderId="10" xfId="42" applyNumberFormat="1" applyFont="1" applyFill="1" applyBorder="1" applyAlignment="1" quotePrefix="1">
      <alignment horizontal="right" vertical="center"/>
    </xf>
    <xf numFmtId="181" fontId="7" fillId="0" borderId="10" xfId="42" applyNumberFormat="1" applyFont="1" applyFill="1" applyBorder="1" applyAlignment="1">
      <alignment horizontal="right"/>
    </xf>
    <xf numFmtId="0" fontId="7" fillId="0" borderId="0" xfId="0" applyFont="1" applyFill="1" applyAlignment="1">
      <alignment/>
    </xf>
    <xf numFmtId="0" fontId="25" fillId="0" borderId="0" xfId="0" applyFont="1" applyFill="1" applyAlignment="1">
      <alignment vertical="top"/>
    </xf>
    <xf numFmtId="0" fontId="47" fillId="0" borderId="0" xfId="0" applyFont="1" applyFill="1" applyBorder="1" applyAlignment="1">
      <alignment/>
    </xf>
    <xf numFmtId="0" fontId="27" fillId="0" borderId="10" xfId="58" applyFont="1" applyFill="1" applyBorder="1" applyAlignment="1">
      <alignment horizontal="center" wrapText="1"/>
      <protection/>
    </xf>
    <xf numFmtId="0" fontId="27" fillId="0" borderId="10" xfId="0" applyFont="1" applyFill="1" applyBorder="1" applyAlignment="1">
      <alignment wrapText="1"/>
    </xf>
    <xf numFmtId="0" fontId="27" fillId="0" borderId="10" xfId="0" applyFont="1" applyFill="1" applyBorder="1" applyAlignment="1" applyProtection="1">
      <alignment vertical="center" wrapText="1"/>
      <protection locked="0"/>
    </xf>
    <xf numFmtId="0" fontId="27" fillId="0" borderId="10" xfId="58" applyFont="1" applyFill="1" applyBorder="1" applyAlignment="1">
      <alignment/>
      <protection/>
    </xf>
    <xf numFmtId="181" fontId="27" fillId="0" borderId="10" xfId="42" applyNumberFormat="1" applyFont="1" applyFill="1" applyBorder="1" applyAlignment="1">
      <alignment horizontal="left"/>
    </xf>
    <xf numFmtId="181" fontId="27" fillId="0" borderId="10" xfId="42" applyNumberFormat="1" applyFont="1" applyFill="1" applyBorder="1" applyAlignment="1">
      <alignment/>
    </xf>
    <xf numFmtId="181" fontId="19" fillId="0" borderId="0" xfId="42" applyNumberFormat="1" applyFont="1" applyFill="1" applyAlignment="1">
      <alignment/>
    </xf>
    <xf numFmtId="181" fontId="3" fillId="0" borderId="0" xfId="0" applyNumberFormat="1" applyFont="1" applyFill="1" applyAlignment="1">
      <alignment/>
    </xf>
    <xf numFmtId="1" fontId="15" fillId="0" borderId="10" xfId="0" applyNumberFormat="1" applyFont="1" applyFill="1" applyBorder="1" applyAlignment="1">
      <alignment horizontal="center" vertical="center"/>
    </xf>
    <xf numFmtId="181" fontId="15" fillId="0" borderId="10" xfId="42" applyNumberFormat="1" applyFont="1" applyFill="1" applyBorder="1" applyAlignment="1">
      <alignment vertical="top" wrapText="1"/>
    </xf>
    <xf numFmtId="181" fontId="15" fillId="0" borderId="10" xfId="42" applyNumberFormat="1" applyFont="1" applyFill="1" applyBorder="1" applyAlignment="1">
      <alignment horizontal="right" vertical="center"/>
    </xf>
    <xf numFmtId="181" fontId="15" fillId="0" borderId="10" xfId="42" applyNumberFormat="1" applyFont="1" applyFill="1" applyBorder="1" applyAlignment="1" quotePrefix="1">
      <alignment horizontal="right" vertical="center"/>
    </xf>
    <xf numFmtId="181" fontId="15" fillId="0" borderId="10" xfId="42" applyNumberFormat="1" applyFont="1" applyFill="1" applyBorder="1" applyAlignment="1">
      <alignment horizontal="center" vertical="center"/>
    </xf>
    <xf numFmtId="181" fontId="15" fillId="0" borderId="13" xfId="42" applyNumberFormat="1" applyFont="1" applyFill="1" applyBorder="1" applyAlignment="1">
      <alignment vertical="top" wrapText="1"/>
    </xf>
    <xf numFmtId="0" fontId="15" fillId="0" borderId="10" xfId="58" applyFont="1" applyFill="1" applyBorder="1" applyAlignment="1">
      <alignment horizontal="center" wrapText="1"/>
      <protection/>
    </xf>
    <xf numFmtId="0" fontId="15" fillId="0" borderId="10" xfId="0" applyFont="1" applyFill="1" applyBorder="1" applyAlignment="1">
      <alignment wrapText="1"/>
    </xf>
    <xf numFmtId="0" fontId="15" fillId="0" borderId="10" xfId="0" applyFont="1" applyFill="1" applyBorder="1" applyAlignment="1" applyProtection="1">
      <alignment vertical="center" wrapText="1"/>
      <protection locked="0"/>
    </xf>
    <xf numFmtId="0" fontId="15" fillId="0" borderId="10" xfId="58" applyFont="1" applyFill="1" applyBorder="1" applyAlignment="1">
      <alignment/>
      <protection/>
    </xf>
    <xf numFmtId="181" fontId="15" fillId="0" borderId="10" xfId="42" applyNumberFormat="1" applyFont="1" applyFill="1" applyBorder="1" applyAlignment="1">
      <alignment horizontal="left"/>
    </xf>
    <xf numFmtId="181" fontId="15" fillId="0" borderId="10" xfId="42" applyNumberFormat="1" applyFont="1" applyFill="1" applyBorder="1" applyAlignment="1">
      <alignment/>
    </xf>
    <xf numFmtId="0" fontId="48" fillId="0" borderId="0" xfId="0" applyFont="1" applyFill="1" applyBorder="1" applyAlignment="1">
      <alignment/>
    </xf>
    <xf numFmtId="181" fontId="15" fillId="0" borderId="0" xfId="42" applyNumberFormat="1" applyFont="1" applyFill="1" applyAlignment="1">
      <alignment/>
    </xf>
    <xf numFmtId="1" fontId="15" fillId="0" borderId="0" xfId="0" applyNumberFormat="1" applyFont="1" applyFill="1" applyBorder="1" applyAlignment="1">
      <alignment horizontal="center" vertical="center"/>
    </xf>
    <xf numFmtId="0" fontId="15" fillId="0" borderId="0" xfId="0" applyFont="1" applyFill="1" applyBorder="1" applyAlignment="1">
      <alignment/>
    </xf>
    <xf numFmtId="1" fontId="15" fillId="0" borderId="10" xfId="0"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0" xfId="57" applyFont="1" applyFill="1" applyBorder="1" applyAlignment="1">
      <alignment horizontal="center" vertical="center"/>
      <protection/>
    </xf>
    <xf numFmtId="0" fontId="15" fillId="0" borderId="10" xfId="58" applyFont="1" applyFill="1" applyBorder="1" applyAlignment="1">
      <alignment wrapText="1"/>
      <protection/>
    </xf>
    <xf numFmtId="181" fontId="15" fillId="0" borderId="10" xfId="42" applyNumberFormat="1" applyFont="1" applyFill="1" applyBorder="1" applyAlignment="1">
      <alignment horizontal="left" wrapText="1"/>
    </xf>
    <xf numFmtId="181" fontId="15" fillId="0" borderId="10" xfId="42" applyNumberFormat="1" applyFont="1" applyFill="1" applyBorder="1" applyAlignment="1">
      <alignment horizontal="left" vertical="center" wrapText="1"/>
    </xf>
    <xf numFmtId="181" fontId="15" fillId="0" borderId="10" xfId="42" applyNumberFormat="1" applyFont="1" applyFill="1" applyBorder="1" applyAlignment="1">
      <alignment vertical="center" wrapText="1"/>
    </xf>
    <xf numFmtId="181" fontId="27" fillId="0" borderId="10" xfId="42" applyNumberFormat="1" applyFont="1" applyFill="1" applyBorder="1" applyAlignment="1">
      <alignment/>
    </xf>
    <xf numFmtId="181" fontId="7" fillId="0" borderId="10" xfId="42" applyNumberFormat="1" applyFont="1" applyFill="1" applyBorder="1" applyAlignment="1">
      <alignment horizontal="left" wrapText="1"/>
    </xf>
    <xf numFmtId="181" fontId="7" fillId="0" borderId="10" xfId="42" applyNumberFormat="1" applyFont="1" applyFill="1" applyBorder="1" applyAlignment="1" applyProtection="1">
      <alignment horizontal="left" vertical="center" wrapText="1"/>
      <protection locked="0"/>
    </xf>
    <xf numFmtId="181" fontId="15" fillId="0" borderId="13" xfId="42" applyNumberFormat="1" applyFont="1" applyFill="1" applyBorder="1" applyAlignment="1">
      <alignment horizontal="left"/>
    </xf>
    <xf numFmtId="181" fontId="29" fillId="0" borderId="13" xfId="42" applyNumberFormat="1" applyFont="1" applyFill="1" applyBorder="1" applyAlignment="1">
      <alignment horizontal="left"/>
    </xf>
    <xf numFmtId="181" fontId="29" fillId="0" borderId="12" xfId="42" applyNumberFormat="1" applyFont="1" applyFill="1" applyBorder="1" applyAlignment="1">
      <alignment horizontal="left"/>
    </xf>
    <xf numFmtId="181" fontId="15" fillId="0" borderId="13" xfId="42" applyNumberFormat="1" applyFont="1" applyFill="1" applyBorder="1" applyAlignment="1">
      <alignment horizontal="left" wrapText="1"/>
    </xf>
    <xf numFmtId="181" fontId="15" fillId="0" borderId="12" xfId="42" applyNumberFormat="1" applyFont="1" applyFill="1" applyBorder="1" applyAlignment="1">
      <alignment horizontal="left" wrapText="1"/>
    </xf>
    <xf numFmtId="181" fontId="15" fillId="0" borderId="12" xfId="42" applyNumberFormat="1"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3" xfId="0" applyFont="1" applyFill="1" applyBorder="1" applyAlignment="1">
      <alignment vertical="center" wrapText="1"/>
    </xf>
    <xf numFmtId="181" fontId="7" fillId="0" borderId="10" xfId="42" applyNumberFormat="1" applyFont="1" applyFill="1" applyBorder="1" applyAlignment="1">
      <alignment horizontal="right" vertical="center"/>
    </xf>
    <xf numFmtId="181" fontId="7" fillId="0" borderId="10" xfId="42" applyNumberFormat="1" applyFont="1" applyFill="1" applyBorder="1" applyAlignment="1">
      <alignment/>
    </xf>
    <xf numFmtId="181" fontId="50" fillId="0" borderId="10" xfId="42" applyNumberFormat="1" applyFont="1" applyFill="1" applyBorder="1" applyAlignment="1" quotePrefix="1">
      <alignment horizontal="right" vertical="center"/>
    </xf>
    <xf numFmtId="181" fontId="50" fillId="0" borderId="10" xfId="42" applyNumberFormat="1" applyFont="1" applyFill="1" applyBorder="1" applyAlignment="1">
      <alignment horizontal="right" vertical="center"/>
    </xf>
    <xf numFmtId="181" fontId="7" fillId="0" borderId="0" xfId="42" applyNumberFormat="1" applyFont="1" applyFill="1" applyBorder="1" applyAlignment="1">
      <alignment vertical="center" wrapText="1"/>
    </xf>
    <xf numFmtId="181" fontId="7" fillId="0" borderId="13" xfId="42" applyNumberFormat="1" applyFont="1" applyFill="1" applyBorder="1" applyAlignment="1">
      <alignment horizontal="right" vertical="center" wrapText="1"/>
    </xf>
    <xf numFmtId="181" fontId="3" fillId="0" borderId="0" xfId="42" applyNumberFormat="1" applyFont="1" applyFill="1" applyAlignment="1">
      <alignment/>
    </xf>
    <xf numFmtId="181" fontId="21" fillId="0" borderId="0" xfId="42" applyNumberFormat="1" applyFont="1" applyFill="1" applyAlignment="1">
      <alignment horizontal="center" vertical="center"/>
    </xf>
    <xf numFmtId="181" fontId="0" fillId="0" borderId="0" xfId="42" applyNumberFormat="1" applyFont="1" applyFill="1" applyAlignment="1">
      <alignment/>
    </xf>
    <xf numFmtId="181" fontId="7" fillId="0" borderId="13" xfId="42" applyNumberFormat="1" applyFont="1" applyFill="1" applyBorder="1" applyAlignment="1">
      <alignment vertical="top" wrapText="1"/>
    </xf>
    <xf numFmtId="181" fontId="22"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right"/>
    </xf>
    <xf numFmtId="181" fontId="7" fillId="0" borderId="0" xfId="42" applyNumberFormat="1" applyFont="1" applyFill="1" applyAlignment="1">
      <alignment horizontal="right"/>
    </xf>
    <xf numFmtId="181" fontId="7" fillId="0" borderId="10" xfId="42" applyNumberFormat="1" applyFont="1" applyFill="1" applyBorder="1" applyAlignment="1">
      <alignment horizontal="right" vertical="center" wrapText="1"/>
    </xf>
    <xf numFmtId="0" fontId="7" fillId="0" borderId="10" xfId="0" applyFont="1" applyFill="1" applyBorder="1" applyAlignment="1">
      <alignment vertical="top" wrapText="1"/>
    </xf>
    <xf numFmtId="0" fontId="7" fillId="0" borderId="10" xfId="58" applyFont="1" applyFill="1" applyBorder="1" applyAlignment="1">
      <alignment horizontal="left" wrapText="1"/>
      <protection/>
    </xf>
    <xf numFmtId="0" fontId="7" fillId="0" borderId="13" xfId="0" applyFont="1" applyFill="1" applyBorder="1" applyAlignment="1">
      <alignment wrapText="1"/>
    </xf>
    <xf numFmtId="0" fontId="7" fillId="0" borderId="14" xfId="0" applyFont="1" applyFill="1" applyBorder="1" applyAlignment="1">
      <alignment wrapText="1"/>
    </xf>
    <xf numFmtId="181" fontId="15" fillId="0" borderId="10" xfId="42" applyNumberFormat="1" applyFont="1" applyFill="1" applyBorder="1" applyAlignment="1">
      <alignment wrapText="1"/>
    </xf>
    <xf numFmtId="49" fontId="44" fillId="0" borderId="0" xfId="57" applyNumberFormat="1" applyFont="1" applyFill="1" applyAlignment="1">
      <alignment/>
      <protection/>
    </xf>
    <xf numFmtId="0" fontId="44" fillId="0" borderId="10" xfId="58" applyFont="1" applyFill="1" applyBorder="1" applyAlignment="1">
      <alignment horizontal="center" wrapText="1"/>
      <protection/>
    </xf>
    <xf numFmtId="0" fontId="44" fillId="0" borderId="10" xfId="0" applyFont="1" applyFill="1" applyBorder="1" applyAlignment="1">
      <alignment wrapText="1"/>
    </xf>
    <xf numFmtId="0" fontId="44" fillId="0" borderId="10" xfId="0" applyFont="1" applyFill="1" applyBorder="1" applyAlignment="1" applyProtection="1">
      <alignment vertical="center" wrapText="1"/>
      <protection locked="0"/>
    </xf>
    <xf numFmtId="0" fontId="44" fillId="0" borderId="10" xfId="58" applyFont="1" applyFill="1" applyBorder="1" applyAlignment="1">
      <alignment wrapText="1"/>
      <protection/>
    </xf>
    <xf numFmtId="181" fontId="44" fillId="0" borderId="10" xfId="42" applyNumberFormat="1" applyFont="1" applyFill="1" applyBorder="1" applyAlignment="1">
      <alignment horizontal="left" wrapText="1"/>
    </xf>
    <xf numFmtId="181" fontId="44" fillId="0" borderId="10" xfId="42" applyNumberFormat="1" applyFont="1" applyFill="1" applyBorder="1" applyAlignment="1">
      <alignment wrapText="1"/>
    </xf>
    <xf numFmtId="181" fontId="27" fillId="0" borderId="10" xfId="42" applyNumberFormat="1" applyFont="1" applyFill="1" applyBorder="1" applyAlignment="1">
      <alignment horizontal="right" vertical="center"/>
    </xf>
    <xf numFmtId="181" fontId="49" fillId="0" borderId="10" xfId="42" applyNumberFormat="1" applyFont="1" applyFill="1" applyBorder="1" applyAlignment="1">
      <alignment/>
    </xf>
    <xf numFmtId="181" fontId="27" fillId="0" borderId="10" xfId="42" applyNumberFormat="1" applyFont="1" applyFill="1" applyBorder="1" applyAlignment="1">
      <alignment horizontal="right" vertical="center"/>
    </xf>
    <xf numFmtId="181" fontId="27" fillId="0" borderId="10" xfId="42" applyNumberFormat="1" applyFont="1" applyFill="1" applyBorder="1" applyAlignment="1">
      <alignment horizontal="right" vertical="center" wrapText="1"/>
    </xf>
    <xf numFmtId="181" fontId="29" fillId="0" borderId="10" xfId="42" applyNumberFormat="1" applyFont="1" applyFill="1" applyBorder="1" applyAlignment="1">
      <alignment horizontal="center" vertical="center" wrapText="1"/>
    </xf>
    <xf numFmtId="181" fontId="29" fillId="0" borderId="0" xfId="42" applyNumberFormat="1" applyFont="1" applyFill="1" applyAlignment="1">
      <alignment/>
    </xf>
    <xf numFmtId="181" fontId="7" fillId="0" borderId="13" xfId="42" applyNumberFormat="1" applyFont="1" applyFill="1" applyBorder="1" applyAlignment="1">
      <alignment horizontal="right" vertical="top" wrapText="1"/>
    </xf>
    <xf numFmtId="181" fontId="49" fillId="0" borderId="10" xfId="42" applyNumberFormat="1" applyFont="1" applyFill="1" applyBorder="1" applyAlignment="1">
      <alignment horizontal="center" vertical="center" wrapText="1"/>
    </xf>
    <xf numFmtId="181" fontId="0" fillId="0" borderId="10" xfId="42" applyNumberFormat="1" applyFont="1" applyFill="1" applyBorder="1" applyAlignment="1">
      <alignment horizontal="center" vertical="center" wrapText="1"/>
    </xf>
    <xf numFmtId="181" fontId="3"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center" vertical="center"/>
    </xf>
    <xf numFmtId="181" fontId="6" fillId="0" borderId="10" xfId="42" applyNumberFormat="1" applyFont="1" applyFill="1" applyBorder="1" applyAlignment="1">
      <alignment horizontal="center" vertical="center" wrapText="1"/>
    </xf>
    <xf numFmtId="181" fontId="12" fillId="0" borderId="10" xfId="42" applyNumberFormat="1" applyFont="1" applyFill="1" applyBorder="1" applyAlignment="1">
      <alignment horizontal="center" vertical="center" wrapText="1"/>
    </xf>
    <xf numFmtId="181" fontId="7" fillId="0" borderId="10" xfId="42" applyNumberFormat="1" applyFont="1" applyFill="1" applyBorder="1" applyAlignment="1">
      <alignment horizontal="right" vertical="center" wrapText="1"/>
    </xf>
    <xf numFmtId="181" fontId="22" fillId="0" borderId="10" xfId="42" applyNumberFormat="1" applyFont="1" applyFill="1" applyBorder="1" applyAlignment="1">
      <alignment horizontal="right" vertical="center" wrapText="1"/>
    </xf>
    <xf numFmtId="181" fontId="7" fillId="0" borderId="10" xfId="42" applyNumberFormat="1" applyFont="1" applyFill="1" applyBorder="1" applyAlignment="1">
      <alignment horizontal="center" vertical="center"/>
    </xf>
    <xf numFmtId="181" fontId="33" fillId="0" borderId="10" xfId="42" applyNumberFormat="1" applyFont="1" applyFill="1" applyBorder="1" applyAlignment="1">
      <alignment horizontal="right"/>
    </xf>
    <xf numFmtId="181" fontId="27" fillId="0" borderId="10" xfId="42" applyNumberFormat="1" applyFont="1" applyFill="1" applyBorder="1" applyAlignment="1">
      <alignment horizontal="right"/>
    </xf>
    <xf numFmtId="181" fontId="22" fillId="0" borderId="10" xfId="42" applyNumberFormat="1" applyFont="1" applyFill="1" applyBorder="1" applyAlignment="1" applyProtection="1">
      <alignment horizontal="right" vertical="center" wrapText="1"/>
      <protection locked="0"/>
    </xf>
    <xf numFmtId="181" fontId="7" fillId="0" borderId="10" xfId="42" applyNumberFormat="1" applyFont="1" applyFill="1" applyBorder="1" applyAlignment="1" applyProtection="1">
      <alignment horizontal="right"/>
      <protection/>
    </xf>
    <xf numFmtId="181" fontId="27" fillId="0" borderId="15" xfId="42" applyNumberFormat="1" applyFont="1" applyFill="1" applyBorder="1" applyAlignment="1">
      <alignment horizontal="right" vertical="center"/>
    </xf>
    <xf numFmtId="181" fontId="61" fillId="0" borderId="10" xfId="42" applyNumberFormat="1" applyFont="1" applyFill="1" applyBorder="1" applyAlignment="1">
      <alignment horizontal="right" vertical="center"/>
    </xf>
    <xf numFmtId="181" fontId="0" fillId="0" borderId="10" xfId="42" applyNumberFormat="1" applyFont="1" applyFill="1" applyBorder="1" applyAlignment="1">
      <alignment/>
    </xf>
    <xf numFmtId="181" fontId="7" fillId="0" borderId="10" xfId="42" applyNumberFormat="1" applyFont="1" applyFill="1" applyBorder="1" applyAlignment="1" applyProtection="1">
      <alignment horizontal="right" vertical="center" wrapText="1"/>
      <protection locked="0"/>
    </xf>
    <xf numFmtId="181" fontId="7" fillId="0" borderId="16" xfId="42" applyNumberFormat="1" applyFont="1" applyFill="1" applyBorder="1" applyAlignment="1">
      <alignment horizontal="right"/>
    </xf>
    <xf numFmtId="181" fontId="7" fillId="0" borderId="15" xfId="42" applyNumberFormat="1" applyFont="1" applyFill="1" applyBorder="1" applyAlignment="1">
      <alignment horizontal="right" vertical="center"/>
    </xf>
    <xf numFmtId="181" fontId="7" fillId="0" borderId="10" xfId="42" applyNumberFormat="1" applyFont="1" applyFill="1" applyBorder="1" applyAlignment="1">
      <alignment vertical="top" wrapText="1"/>
    </xf>
    <xf numFmtId="181" fontId="33" fillId="0" borderId="10" xfId="42" applyNumberFormat="1" applyFont="1" applyFill="1" applyBorder="1" applyAlignment="1">
      <alignment horizontal="right" vertical="center"/>
    </xf>
    <xf numFmtId="181" fontId="33" fillId="0" borderId="10" xfId="42" applyNumberFormat="1" applyFont="1" applyFill="1" applyBorder="1" applyAlignment="1">
      <alignment horizontal="right" vertical="center" wrapText="1"/>
    </xf>
    <xf numFmtId="0" fontId="3" fillId="0" borderId="0" xfId="0" applyFont="1" applyFill="1" applyBorder="1" applyAlignment="1">
      <alignment/>
    </xf>
    <xf numFmtId="0" fontId="15" fillId="0" borderId="11" xfId="58" applyFont="1" applyFill="1" applyBorder="1" applyAlignment="1">
      <alignment horizontal="center" wrapText="1"/>
      <protection/>
    </xf>
    <xf numFmtId="0" fontId="15" fillId="0" borderId="11" xfId="0" applyFont="1" applyFill="1" applyBorder="1" applyAlignment="1" applyProtection="1">
      <alignment vertical="center" wrapText="1"/>
      <protection locked="0"/>
    </xf>
    <xf numFmtId="181" fontId="15" fillId="0" borderId="10" xfId="42" applyNumberFormat="1" applyFont="1" applyFill="1" applyBorder="1" applyAlignment="1">
      <alignment horizontal="center" vertical="center" wrapText="1"/>
    </xf>
    <xf numFmtId="49" fontId="7" fillId="0" borderId="17" xfId="57" applyNumberFormat="1" applyFont="1" applyFill="1" applyBorder="1" applyAlignment="1">
      <alignment/>
      <protection/>
    </xf>
    <xf numFmtId="1" fontId="20" fillId="0" borderId="0" xfId="42" applyNumberFormat="1" applyFont="1" applyFill="1" applyAlignment="1">
      <alignment horizontal="left" vertical="top"/>
    </xf>
    <xf numFmtId="1" fontId="19" fillId="0" borderId="0" xfId="42" applyNumberFormat="1" applyFont="1" applyFill="1" applyAlignment="1">
      <alignment horizontal="center"/>
    </xf>
    <xf numFmtId="1" fontId="15" fillId="0" borderId="0" xfId="42" applyNumberFormat="1" applyFont="1" applyFill="1" applyAlignment="1">
      <alignment/>
    </xf>
    <xf numFmtId="181" fontId="15" fillId="0" borderId="0" xfId="42" applyNumberFormat="1" applyFont="1" applyFill="1" applyBorder="1" applyAlignment="1">
      <alignment horizontal="center" vertical="center"/>
    </xf>
    <xf numFmtId="0" fontId="49" fillId="0" borderId="0" xfId="0" applyFont="1" applyFill="1" applyAlignment="1">
      <alignment/>
    </xf>
    <xf numFmtId="181" fontId="7" fillId="0" borderId="10" xfId="42" applyNumberFormat="1" applyFont="1" applyFill="1" applyBorder="1" applyAlignment="1" quotePrefix="1">
      <alignment horizontal="right" vertical="center"/>
    </xf>
    <xf numFmtId="181" fontId="7" fillId="0" borderId="10" xfId="42" applyNumberFormat="1" applyFont="1" applyFill="1" applyBorder="1" applyAlignment="1">
      <alignment/>
    </xf>
    <xf numFmtId="181" fontId="58" fillId="0" borderId="0" xfId="57" applyNumberFormat="1" applyFont="1" applyFill="1" applyAlignment="1">
      <alignment horizontal="center"/>
      <protection/>
    </xf>
    <xf numFmtId="49" fontId="7" fillId="0" borderId="10" xfId="42" applyNumberFormat="1" applyFont="1" applyFill="1" applyBorder="1" applyAlignment="1">
      <alignment horizontal="right"/>
    </xf>
    <xf numFmtId="181" fontId="15" fillId="0" borderId="10" xfId="42" applyNumberFormat="1" applyFont="1" applyFill="1" applyBorder="1" applyAlignment="1">
      <alignment horizontal="center" vertical="center" wrapText="1"/>
    </xf>
    <xf numFmtId="181" fontId="15" fillId="0" borderId="10" xfId="42" applyNumberFormat="1" applyFont="1" applyFill="1" applyBorder="1" applyAlignment="1">
      <alignment/>
    </xf>
    <xf numFmtId="0" fontId="39" fillId="0" borderId="0" xfId="0" applyFont="1" applyFill="1" applyAlignment="1">
      <alignment vertical="center"/>
    </xf>
    <xf numFmtId="210" fontId="39" fillId="0" borderId="0" xfId="42" applyNumberFormat="1" applyFont="1" applyFill="1" applyAlignment="1">
      <alignment/>
    </xf>
    <xf numFmtId="0" fontId="29" fillId="0" borderId="0" xfId="0" applyFont="1" applyFill="1" applyAlignment="1">
      <alignment/>
    </xf>
    <xf numFmtId="181" fontId="14" fillId="0" borderId="10" xfId="42" applyNumberFormat="1" applyFont="1" applyFill="1" applyBorder="1" applyAlignment="1">
      <alignment horizontal="right" vertical="center"/>
    </xf>
    <xf numFmtId="181" fontId="46" fillId="0" borderId="10" xfId="42" applyNumberFormat="1" applyFont="1" applyFill="1" applyBorder="1" applyAlignment="1" applyProtection="1">
      <alignment horizontal="right" vertical="center" wrapText="1"/>
      <protection/>
    </xf>
    <xf numFmtId="181" fontId="7" fillId="0" borderId="10" xfId="42" applyNumberFormat="1" applyFont="1" applyFill="1" applyBorder="1" applyAlignment="1" applyProtection="1">
      <alignment horizontal="right" vertical="center" wrapText="1"/>
      <protection/>
    </xf>
    <xf numFmtId="181" fontId="33" fillId="0" borderId="0" xfId="42" applyNumberFormat="1" applyFont="1" applyFill="1" applyBorder="1" applyAlignment="1">
      <alignment/>
    </xf>
    <xf numFmtId="181" fontId="0" fillId="0" borderId="0" xfId="42" applyNumberFormat="1" applyFont="1" applyFill="1" applyAlignment="1">
      <alignment/>
    </xf>
    <xf numFmtId="0" fontId="0" fillId="0" borderId="0" xfId="0" applyFont="1" applyFill="1" applyBorder="1" applyAlignment="1">
      <alignment/>
    </xf>
    <xf numFmtId="0" fontId="0" fillId="0" borderId="0" xfId="0" applyFont="1" applyFill="1" applyAlignment="1">
      <alignment/>
    </xf>
    <xf numFmtId="181" fontId="29" fillId="0" borderId="10" xfId="42" applyNumberFormat="1" applyFont="1" applyFill="1" applyBorder="1" applyAlignment="1">
      <alignment vertical="center"/>
    </xf>
    <xf numFmtId="181" fontId="58" fillId="0" borderId="10" xfId="42" applyNumberFormat="1" applyFont="1" applyFill="1" applyBorder="1" applyAlignment="1">
      <alignment vertical="center"/>
    </xf>
    <xf numFmtId="181" fontId="34" fillId="0" borderId="10" xfId="42" applyNumberFormat="1" applyFont="1" applyFill="1" applyBorder="1" applyAlignment="1" applyProtection="1">
      <alignment horizontal="center" vertical="center" wrapText="1"/>
      <protection/>
    </xf>
    <xf numFmtId="181" fontId="59" fillId="0" borderId="10" xfId="42" applyNumberFormat="1" applyFont="1" applyFill="1" applyBorder="1" applyAlignment="1" applyProtection="1">
      <alignment horizontal="center" vertical="center" wrapText="1"/>
      <protection/>
    </xf>
    <xf numFmtId="0" fontId="0" fillId="0" borderId="0" xfId="0" applyFont="1" applyFill="1" applyBorder="1" applyAlignment="1">
      <alignment/>
    </xf>
    <xf numFmtId="181" fontId="7" fillId="0" borderId="12" xfId="42" applyNumberFormat="1" applyFont="1" applyFill="1" applyBorder="1" applyAlignment="1" quotePrefix="1">
      <alignment horizontal="right" vertical="center"/>
    </xf>
    <xf numFmtId="181" fontId="15" fillId="0" borderId="10" xfId="42" applyNumberFormat="1" applyFont="1" applyFill="1" applyBorder="1" applyAlignment="1" quotePrefix="1">
      <alignment horizontal="right" vertical="center"/>
    </xf>
    <xf numFmtId="181" fontId="7" fillId="0" borderId="0" xfId="42" applyNumberFormat="1" applyFont="1" applyFill="1" applyBorder="1" applyAlignment="1">
      <alignment/>
    </xf>
    <xf numFmtId="0" fontId="7" fillId="0" borderId="0" xfId="0" applyFont="1" applyFill="1" applyBorder="1" applyAlignment="1">
      <alignment/>
    </xf>
    <xf numFmtId="181" fontId="0" fillId="0" borderId="10" xfId="42" applyNumberFormat="1" applyFont="1" applyFill="1" applyBorder="1" applyAlignment="1">
      <alignment horizontal="center"/>
    </xf>
    <xf numFmtId="181" fontId="7" fillId="0" borderId="10" xfId="42" applyNumberFormat="1" applyFont="1" applyFill="1" applyBorder="1" applyAlignment="1">
      <alignment horizontal="center" wrapText="1"/>
    </xf>
    <xf numFmtId="0" fontId="15" fillId="0" borderId="0" xfId="0" applyFont="1" applyFill="1" applyBorder="1" applyAlignment="1">
      <alignment/>
    </xf>
    <xf numFmtId="181" fontId="22" fillId="0" borderId="0" xfId="42" applyNumberFormat="1" applyFont="1" applyFill="1" applyBorder="1" applyAlignment="1">
      <alignment/>
    </xf>
    <xf numFmtId="9" fontId="52" fillId="0" borderId="10" xfId="42" applyNumberFormat="1" applyFont="1" applyFill="1" applyBorder="1" applyAlignment="1">
      <alignment vertical="center"/>
    </xf>
    <xf numFmtId="181" fontId="54" fillId="0" borderId="10" xfId="42" applyNumberFormat="1" applyFont="1" applyFill="1" applyBorder="1" applyAlignment="1" applyProtection="1">
      <alignment horizontal="center" vertical="center" wrapText="1"/>
      <protection/>
    </xf>
    <xf numFmtId="9" fontId="7" fillId="0" borderId="10" xfId="0" applyNumberFormat="1" applyFont="1" applyFill="1" applyBorder="1" applyAlignment="1">
      <alignment/>
    </xf>
    <xf numFmtId="181" fontId="7" fillId="0" borderId="11" xfId="42" applyNumberFormat="1" applyFont="1" applyFill="1" applyBorder="1" applyAlignment="1">
      <alignment horizontal="right" vertical="center"/>
    </xf>
    <xf numFmtId="9" fontId="7" fillId="0" borderId="11" xfId="0" applyNumberFormat="1" applyFont="1" applyFill="1" applyBorder="1" applyAlignment="1">
      <alignment/>
    </xf>
    <xf numFmtId="1" fontId="29" fillId="0" borderId="0" xfId="0" applyNumberFormat="1" applyFont="1" applyFill="1" applyAlignment="1">
      <alignment/>
    </xf>
    <xf numFmtId="1" fontId="15" fillId="0" borderId="0" xfId="0" applyNumberFormat="1" applyFont="1" applyFill="1" applyAlignment="1">
      <alignment/>
    </xf>
    <xf numFmtId="1" fontId="0" fillId="0" borderId="0" xfId="42" applyNumberFormat="1" applyFont="1" applyFill="1" applyAlignment="1">
      <alignment/>
    </xf>
    <xf numFmtId="181" fontId="56" fillId="0" borderId="10" xfId="42" applyNumberFormat="1" applyFont="1" applyFill="1" applyBorder="1" applyAlignment="1" applyProtection="1">
      <alignment horizontal="center" vertical="center" wrapText="1"/>
      <protection/>
    </xf>
    <xf numFmtId="0" fontId="3" fillId="0" borderId="0" xfId="0" applyFont="1" applyFill="1" applyAlignment="1">
      <alignment horizontal="center"/>
    </xf>
    <xf numFmtId="0" fontId="44" fillId="0" borderId="10" xfId="0" applyFont="1" applyFill="1" applyBorder="1" applyAlignment="1">
      <alignment horizontal="center" vertical="center" wrapText="1"/>
    </xf>
    <xf numFmtId="181" fontId="56" fillId="0" borderId="10" xfId="42" applyNumberFormat="1" applyFont="1" applyFill="1" applyBorder="1" applyAlignment="1" applyProtection="1">
      <alignment horizontal="right" vertical="center" wrapText="1"/>
      <protection/>
    </xf>
    <xf numFmtId="0" fontId="27" fillId="0" borderId="0" xfId="0" applyFont="1" applyFill="1" applyAlignment="1">
      <alignment/>
    </xf>
    <xf numFmtId="181" fontId="27" fillId="0" borderId="0" xfId="42" applyNumberFormat="1" applyFont="1" applyFill="1" applyAlignment="1">
      <alignment/>
    </xf>
    <xf numFmtId="43" fontId="0" fillId="0" borderId="0" xfId="42" applyFont="1" applyFill="1" applyAlignment="1">
      <alignment/>
    </xf>
    <xf numFmtId="181" fontId="60" fillId="0" borderId="0" xfId="42" applyNumberFormat="1" applyFont="1" applyFill="1" applyAlignment="1">
      <alignment/>
    </xf>
    <xf numFmtId="181" fontId="0" fillId="0" borderId="0" xfId="0" applyNumberFormat="1" applyFill="1" applyAlignment="1">
      <alignment/>
    </xf>
    <xf numFmtId="185" fontId="44" fillId="0" borderId="10" xfId="0" applyNumberFormat="1" applyFont="1" applyFill="1" applyBorder="1" applyAlignment="1">
      <alignment horizontal="center" vertical="center" wrapText="1"/>
    </xf>
    <xf numFmtId="181" fontId="27" fillId="0" borderId="10" xfId="42" applyNumberFormat="1" applyFont="1" applyFill="1" applyBorder="1" applyAlignment="1" applyProtection="1">
      <alignment horizontal="right" vertical="center" wrapText="1"/>
      <protection/>
    </xf>
    <xf numFmtId="210" fontId="39" fillId="0" borderId="10" xfId="42" applyNumberFormat="1" applyFont="1" applyFill="1" applyBorder="1" applyAlignment="1">
      <alignment/>
    </xf>
    <xf numFmtId="181" fontId="7" fillId="0" borderId="0" xfId="42" applyNumberFormat="1" applyFont="1" applyFill="1" applyAlignment="1">
      <alignment horizontal="right" vertical="center"/>
    </xf>
    <xf numFmtId="181" fontId="27" fillId="0" borderId="10" xfId="42" applyNumberFormat="1" applyFont="1" applyFill="1" applyBorder="1" applyAlignment="1">
      <alignment horizontal="right" vertical="center" wrapText="1"/>
    </xf>
    <xf numFmtId="210" fontId="39" fillId="0" borderId="10" xfId="42" applyNumberFormat="1" applyFont="1" applyFill="1" applyBorder="1" applyAlignment="1">
      <alignment/>
    </xf>
    <xf numFmtId="0" fontId="27" fillId="0" borderId="10" xfId="0" applyFont="1" applyFill="1" applyBorder="1" applyAlignment="1">
      <alignment/>
    </xf>
    <xf numFmtId="0" fontId="27" fillId="0" borderId="10" xfId="0" applyFont="1" applyFill="1" applyBorder="1" applyAlignment="1">
      <alignment horizontal="right"/>
    </xf>
    <xf numFmtId="181" fontId="33" fillId="0" borderId="10" xfId="42" applyNumberFormat="1" applyFont="1" applyFill="1" applyBorder="1" applyAlignment="1">
      <alignment horizontal="right" vertical="center"/>
    </xf>
    <xf numFmtId="0" fontId="29" fillId="0" borderId="0" xfId="0" applyFont="1" applyFill="1" applyAlignment="1">
      <alignment horizontal="right"/>
    </xf>
    <xf numFmtId="181" fontId="39" fillId="0" borderId="0" xfId="42" applyNumberFormat="1" applyFont="1" applyFill="1" applyAlignment="1">
      <alignment vertical="center"/>
    </xf>
    <xf numFmtId="181" fontId="16" fillId="0" borderId="0" xfId="42" applyNumberFormat="1" applyFont="1" applyFill="1" applyAlignment="1">
      <alignment/>
    </xf>
    <xf numFmtId="0" fontId="27" fillId="0" borderId="10" xfId="0" applyFont="1" applyFill="1" applyBorder="1" applyAlignment="1">
      <alignment horizontal="center" vertical="center" wrapText="1"/>
    </xf>
    <xf numFmtId="181" fontId="41" fillId="0" borderId="10" xfId="42" applyNumberFormat="1" applyFont="1" applyFill="1" applyBorder="1" applyAlignment="1">
      <alignment vertical="center"/>
    </xf>
    <xf numFmtId="3" fontId="22" fillId="0" borderId="10" xfId="0" applyNumberFormat="1" applyFont="1" applyFill="1" applyBorder="1" applyAlignment="1">
      <alignment horizontal="right" vertical="center"/>
    </xf>
    <xf numFmtId="181" fontId="15" fillId="0" borderId="0" xfId="42" applyNumberFormat="1" applyFont="1" applyFill="1" applyBorder="1" applyAlignment="1">
      <alignment/>
    </xf>
    <xf numFmtId="181" fontId="14" fillId="0" borderId="10" xfId="42" applyNumberFormat="1" applyFont="1" applyFill="1" applyBorder="1" applyAlignment="1">
      <alignment horizontal="right"/>
    </xf>
    <xf numFmtId="181" fontId="0" fillId="0" borderId="0" xfId="42" applyNumberFormat="1" applyFont="1" applyFill="1" applyAlignment="1">
      <alignment/>
    </xf>
    <xf numFmtId="0" fontId="0" fillId="0" borderId="0" xfId="0" applyFont="1" applyFill="1" applyAlignment="1">
      <alignment/>
    </xf>
    <xf numFmtId="185" fontId="0" fillId="0" borderId="0" xfId="0" applyNumberFormat="1" applyFont="1" applyFill="1" applyAlignment="1">
      <alignment/>
    </xf>
    <xf numFmtId="181" fontId="14" fillId="0" borderId="10" xfId="42" applyNumberFormat="1" applyFont="1" applyFill="1" applyBorder="1" applyAlignment="1">
      <alignment vertical="center"/>
    </xf>
    <xf numFmtId="181" fontId="46" fillId="0" borderId="10" xfId="42" applyNumberFormat="1" applyFont="1" applyFill="1" applyBorder="1" applyAlignment="1" applyProtection="1">
      <alignment horizontal="center" vertical="center" wrapText="1"/>
      <protection/>
    </xf>
    <xf numFmtId="0" fontId="7" fillId="0" borderId="10" xfId="0" applyFont="1" applyFill="1" applyBorder="1" applyAlignment="1">
      <alignment horizontal="justify" vertical="center" wrapText="1"/>
    </xf>
    <xf numFmtId="1" fontId="14" fillId="0" borderId="10" xfId="42" applyNumberFormat="1" applyFont="1" applyFill="1" applyBorder="1" applyAlignment="1">
      <alignment horizontal="right" vertical="center"/>
    </xf>
    <xf numFmtId="1" fontId="7" fillId="0" borderId="10" xfId="42" applyNumberFormat="1" applyFont="1" applyFill="1" applyBorder="1" applyAlignment="1" quotePrefix="1">
      <alignment horizontal="right" vertical="center"/>
    </xf>
    <xf numFmtId="1" fontId="46" fillId="0" borderId="10" xfId="42" applyNumberFormat="1" applyFont="1" applyFill="1" applyBorder="1" applyAlignment="1" applyProtection="1">
      <alignment horizontal="right" vertical="center" wrapText="1"/>
      <protection/>
    </xf>
    <xf numFmtId="1" fontId="7" fillId="0" borderId="10" xfId="42" applyNumberFormat="1" applyFont="1" applyFill="1" applyBorder="1" applyAlignment="1">
      <alignment horizontal="right" vertical="center"/>
    </xf>
    <xf numFmtId="1" fontId="34" fillId="0" borderId="10" xfId="42" applyNumberFormat="1" applyFont="1" applyFill="1" applyBorder="1" applyAlignment="1" applyProtection="1">
      <alignment horizontal="center" vertical="center" wrapText="1"/>
      <protection/>
    </xf>
    <xf numFmtId="181" fontId="15" fillId="0" borderId="13" xfId="42" applyNumberFormat="1" applyFont="1" applyFill="1" applyBorder="1" applyAlignment="1">
      <alignment vertical="center" wrapText="1"/>
    </xf>
    <xf numFmtId="1" fontId="56" fillId="0" borderId="10" xfId="42" applyNumberFormat="1" applyFont="1" applyFill="1" applyBorder="1" applyAlignment="1" applyProtection="1">
      <alignment horizontal="center" vertical="center" wrapText="1"/>
      <protection/>
    </xf>
    <xf numFmtId="1" fontId="27" fillId="0" borderId="10" xfId="42" applyNumberFormat="1" applyFont="1" applyFill="1" applyBorder="1" applyAlignment="1">
      <alignment/>
    </xf>
    <xf numFmtId="1" fontId="0" fillId="0" borderId="10" xfId="42" applyNumberFormat="1" applyFont="1" applyFill="1" applyBorder="1" applyAlignment="1">
      <alignment/>
    </xf>
    <xf numFmtId="1" fontId="22" fillId="0" borderId="10" xfId="0" applyNumberFormat="1" applyFont="1" applyFill="1" applyBorder="1" applyAlignment="1">
      <alignment horizontal="right" vertical="center"/>
    </xf>
    <xf numFmtId="1" fontId="27" fillId="0" borderId="10" xfId="42" applyNumberFormat="1" applyFont="1" applyFill="1" applyBorder="1" applyAlignment="1">
      <alignment vertical="center"/>
    </xf>
    <xf numFmtId="1" fontId="0" fillId="0" borderId="10" xfId="42" applyNumberFormat="1" applyFont="1" applyFill="1" applyBorder="1" applyAlignment="1">
      <alignment vertical="center"/>
    </xf>
    <xf numFmtId="1" fontId="14" fillId="0" borderId="10" xfId="42" applyNumberFormat="1" applyFont="1" applyFill="1" applyBorder="1" applyAlignment="1">
      <alignment vertical="center"/>
    </xf>
    <xf numFmtId="1" fontId="46" fillId="0" borderId="10" xfId="42" applyNumberFormat="1" applyFont="1" applyFill="1" applyBorder="1" applyAlignment="1" applyProtection="1">
      <alignment horizontal="center" vertical="center" wrapText="1"/>
      <protection/>
    </xf>
    <xf numFmtId="1" fontId="7" fillId="0" borderId="10" xfId="42" applyNumberFormat="1" applyFont="1" applyFill="1" applyBorder="1" applyAlignment="1">
      <alignment horizontal="center" vertical="center" wrapText="1"/>
    </xf>
    <xf numFmtId="1" fontId="7" fillId="0" borderId="10" xfId="42" applyNumberFormat="1" applyFont="1" applyFill="1" applyBorder="1" applyAlignment="1">
      <alignment horizontal="right" vertical="center" wrapText="1"/>
    </xf>
    <xf numFmtId="181" fontId="7" fillId="0" borderId="10" xfId="42" applyNumberFormat="1" applyFont="1" applyFill="1" applyBorder="1" applyAlignment="1" quotePrefix="1">
      <alignment horizontal="center" vertical="center"/>
    </xf>
    <xf numFmtId="181" fontId="27" fillId="0" borderId="10" xfId="42" applyNumberFormat="1" applyFont="1" applyFill="1" applyBorder="1" applyAlignment="1" quotePrefix="1">
      <alignment horizontal="right" vertical="center"/>
    </xf>
    <xf numFmtId="181" fontId="27" fillId="0" borderId="10" xfId="42" applyNumberFormat="1" applyFont="1" applyFill="1" applyBorder="1" applyAlignment="1">
      <alignment wrapText="1"/>
    </xf>
    <xf numFmtId="181" fontId="15" fillId="0" borderId="0" xfId="0" applyNumberFormat="1" applyFont="1" applyFill="1" applyAlignment="1">
      <alignment/>
    </xf>
    <xf numFmtId="0" fontId="29" fillId="0" borderId="13" xfId="58" applyFont="1" applyFill="1" applyBorder="1" applyAlignment="1">
      <alignment horizontal="left" wrapText="1"/>
      <protection/>
    </xf>
    <xf numFmtId="0" fontId="29" fillId="0" borderId="14" xfId="58" applyFont="1" applyFill="1" applyBorder="1" applyAlignment="1">
      <alignment horizontal="left" wrapText="1"/>
      <protection/>
    </xf>
    <xf numFmtId="180" fontId="29" fillId="0" borderId="15" xfId="0" applyNumberFormat="1" applyFont="1" applyFill="1" applyBorder="1" applyAlignment="1">
      <alignment horizontal="center" vertical="center" wrapText="1"/>
    </xf>
    <xf numFmtId="180" fontId="29" fillId="0" borderId="16" xfId="0" applyNumberFormat="1" applyFont="1" applyFill="1" applyBorder="1" applyAlignment="1">
      <alignment horizontal="center" vertical="center" wrapText="1"/>
    </xf>
    <xf numFmtId="180" fontId="29" fillId="0" borderId="11" xfId="0" applyNumberFormat="1"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2"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0" fillId="0" borderId="11" xfId="0" applyFill="1" applyBorder="1" applyAlignment="1">
      <alignment horizontal="center" vertical="center" wrapText="1"/>
    </xf>
    <xf numFmtId="0" fontId="4" fillId="0" borderId="0" xfId="0" applyFont="1" applyFill="1" applyAlignment="1">
      <alignment horizontal="center" wrapText="1"/>
    </xf>
    <xf numFmtId="0" fontId="17" fillId="0" borderId="0" xfId="0" applyFont="1" applyFill="1" applyAlignment="1">
      <alignment horizontal="center"/>
    </xf>
    <xf numFmtId="0" fontId="18" fillId="0" borderId="0" xfId="0" applyFont="1" applyFill="1" applyAlignment="1">
      <alignment horizontal="center"/>
    </xf>
    <xf numFmtId="0" fontId="15" fillId="0" borderId="11" xfId="0" applyFont="1" applyFill="1" applyBorder="1" applyAlignment="1">
      <alignment horizontal="center" vertical="center" wrapText="1"/>
    </xf>
    <xf numFmtId="180" fontId="29" fillId="0" borderId="10" xfId="0" applyNumberFormat="1" applyFont="1" applyFill="1" applyBorder="1" applyAlignment="1">
      <alignment horizontal="center" vertical="center" wrapText="1"/>
    </xf>
    <xf numFmtId="180"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0" fillId="0" borderId="10" xfId="0" applyFont="1" applyFill="1" applyBorder="1" applyAlignment="1">
      <alignment/>
    </xf>
    <xf numFmtId="0" fontId="39" fillId="0" borderId="10" xfId="0" applyFont="1" applyFill="1" applyBorder="1" applyAlignment="1">
      <alignment horizontal="center" vertical="center"/>
    </xf>
    <xf numFmtId="181" fontId="15" fillId="0" borderId="10" xfId="42" applyNumberFormat="1" applyFont="1" applyFill="1" applyBorder="1" applyAlignment="1">
      <alignment horizontal="center" vertical="center" wrapText="1"/>
    </xf>
    <xf numFmtId="181" fontId="29" fillId="0" borderId="18" xfId="0" applyNumberFormat="1" applyFont="1" applyFill="1" applyBorder="1" applyAlignment="1">
      <alignment horizontal="center" vertical="center" wrapText="1"/>
    </xf>
    <xf numFmtId="0" fontId="17" fillId="0" borderId="0" xfId="0" applyFont="1" applyFill="1" applyAlignment="1">
      <alignment horizontal="center" wrapText="1"/>
    </xf>
    <xf numFmtId="0" fontId="15" fillId="0" borderId="18"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0" xfId="58" applyFont="1" applyFill="1" applyBorder="1" applyAlignment="1">
      <alignment horizontal="left" wrapText="1"/>
      <protection/>
    </xf>
    <xf numFmtId="0" fontId="15" fillId="0" borderId="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52" fillId="0" borderId="13" xfId="57" applyFont="1" applyFill="1" applyBorder="1" applyAlignment="1">
      <alignment horizontal="left" wrapText="1"/>
      <protection/>
    </xf>
    <xf numFmtId="0" fontId="52" fillId="0" borderId="12" xfId="57" applyFont="1" applyFill="1" applyBorder="1" applyAlignment="1">
      <alignment horizontal="left" wrapText="1"/>
      <protection/>
    </xf>
    <xf numFmtId="49" fontId="15" fillId="0" borderId="10" xfId="57" applyNumberFormat="1" applyFont="1" applyFill="1" applyBorder="1" applyAlignment="1">
      <alignment horizontal="center" vertical="center" wrapText="1"/>
      <protection/>
    </xf>
    <xf numFmtId="0" fontId="29" fillId="0" borderId="10" xfId="57" applyFont="1" applyFill="1" applyBorder="1" applyAlignment="1">
      <alignment horizontal="center" vertical="center" wrapText="1"/>
      <protection/>
    </xf>
    <xf numFmtId="0" fontId="15" fillId="0" borderId="10" xfId="57" applyFont="1" applyFill="1" applyBorder="1" applyAlignment="1">
      <alignment horizontal="center" vertical="center" wrapText="1"/>
      <protection/>
    </xf>
    <xf numFmtId="0" fontId="19" fillId="0" borderId="0" xfId="57" applyFont="1" applyFill="1" applyAlignment="1">
      <alignment horizontal="center" vertical="center"/>
      <protection/>
    </xf>
    <xf numFmtId="49" fontId="29" fillId="0" borderId="18" xfId="57" applyNumberFormat="1" applyFont="1" applyFill="1" applyBorder="1" applyAlignment="1">
      <alignment horizontal="center" vertical="center" wrapText="1"/>
      <protection/>
    </xf>
    <xf numFmtId="49" fontId="29" fillId="0" borderId="19" xfId="57" applyNumberFormat="1" applyFont="1" applyFill="1" applyBorder="1" applyAlignment="1">
      <alignment horizontal="center" vertical="center" wrapText="1"/>
      <protection/>
    </xf>
    <xf numFmtId="49" fontId="29" fillId="0" borderId="20" xfId="57" applyNumberFormat="1" applyFont="1" applyFill="1" applyBorder="1" applyAlignment="1">
      <alignment horizontal="center" vertical="center" wrapText="1"/>
      <protection/>
    </xf>
    <xf numFmtId="49" fontId="29" fillId="0" borderId="21" xfId="57" applyNumberFormat="1" applyFont="1" applyFill="1" applyBorder="1" applyAlignment="1">
      <alignment horizontal="center" vertical="center" wrapText="1"/>
      <protection/>
    </xf>
    <xf numFmtId="49" fontId="29" fillId="0" borderId="22" xfId="57" applyNumberFormat="1" applyFont="1" applyFill="1" applyBorder="1" applyAlignment="1">
      <alignment horizontal="center" vertical="center" wrapText="1"/>
      <protection/>
    </xf>
    <xf numFmtId="49" fontId="29" fillId="0" borderId="23" xfId="57" applyNumberFormat="1" applyFont="1" applyFill="1" applyBorder="1" applyAlignment="1">
      <alignment horizontal="center" vertical="center" wrapText="1"/>
      <protection/>
    </xf>
    <xf numFmtId="0" fontId="29" fillId="0" borderId="10" xfId="57" applyFont="1" applyFill="1" applyBorder="1" applyAlignment="1">
      <alignment horizontal="center" vertical="center"/>
      <protection/>
    </xf>
    <xf numFmtId="0" fontId="20" fillId="0" borderId="0" xfId="57" applyFont="1" applyFill="1" applyAlignment="1">
      <alignment horizontal="center" vertical="center"/>
      <protection/>
    </xf>
    <xf numFmtId="181" fontId="29" fillId="0" borderId="10" xfId="42" applyNumberFormat="1" applyFont="1" applyFill="1" applyBorder="1" applyAlignment="1">
      <alignment horizontal="left" wrapText="1"/>
    </xf>
    <xf numFmtId="49" fontId="29" fillId="0" borderId="10" xfId="57" applyNumberFormat="1" applyFont="1" applyFill="1" applyBorder="1" applyAlignment="1">
      <alignment horizontal="center" vertical="center" wrapText="1"/>
      <protection/>
    </xf>
    <xf numFmtId="0" fontId="15" fillId="0" borderId="0" xfId="0" applyFont="1" applyFill="1" applyAlignment="1">
      <alignment horizontal="left" wrapText="1"/>
    </xf>
    <xf numFmtId="0" fontId="29" fillId="0" borderId="10" xfId="57" applyFont="1" applyFill="1" applyBorder="1" applyAlignment="1">
      <alignment horizontal="left" wrapText="1"/>
      <protection/>
    </xf>
    <xf numFmtId="1" fontId="15" fillId="0" borderId="10" xfId="42" applyNumberFormat="1" applyFont="1" applyFill="1" applyBorder="1" applyAlignment="1">
      <alignment horizontal="center" vertical="center" wrapText="1"/>
    </xf>
    <xf numFmtId="1" fontId="29" fillId="0" borderId="10" xfId="57" applyNumberFormat="1" applyFont="1" applyFill="1" applyBorder="1" applyAlignment="1">
      <alignment horizontal="left" wrapText="1"/>
      <protection/>
    </xf>
    <xf numFmtId="49" fontId="15" fillId="0" borderId="10" xfId="0" applyNumberFormat="1" applyFont="1" applyFill="1" applyBorder="1" applyAlignment="1">
      <alignment horizontal="center" vertical="center" wrapText="1"/>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2" xfId="0" applyFont="1" applyFill="1" applyBorder="1" applyAlignment="1">
      <alignment horizontal="center" vertical="center"/>
    </xf>
    <xf numFmtId="0" fontId="15" fillId="0" borderId="10" xfId="0" applyFont="1" applyFill="1" applyBorder="1" applyAlignment="1">
      <alignment horizontal="center" vertical="center"/>
    </xf>
    <xf numFmtId="0" fontId="29" fillId="0" borderId="10" xfId="0" applyFont="1" applyFill="1" applyBorder="1" applyAlignment="1">
      <alignment horizontal="center" vertical="center"/>
    </xf>
    <xf numFmtId="0" fontId="19" fillId="0" borderId="0" xfId="57" applyFont="1" applyFill="1" applyAlignment="1">
      <alignment horizontal="center"/>
      <protection/>
    </xf>
    <xf numFmtId="49" fontId="29"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5" fontId="29" fillId="0" borderId="10" xfId="0" applyNumberFormat="1" applyFont="1" applyFill="1" applyBorder="1" applyAlignment="1">
      <alignment horizontal="center" vertical="center" wrapText="1"/>
    </xf>
    <xf numFmtId="0" fontId="41" fillId="0" borderId="13" xfId="57" applyFont="1" applyFill="1" applyBorder="1" applyAlignment="1">
      <alignment horizontal="left" vertical="center" wrapText="1"/>
      <protection/>
    </xf>
    <xf numFmtId="0" fontId="41" fillId="0" borderId="12" xfId="57" applyFont="1" applyFill="1" applyBorder="1" applyAlignment="1">
      <alignment horizontal="left" vertical="center" wrapText="1"/>
      <protection/>
    </xf>
    <xf numFmtId="0" fontId="0" fillId="0" borderId="18"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185" fontId="0" fillId="0" borderId="13" xfId="0" applyNumberFormat="1" applyFill="1" applyBorder="1" applyAlignment="1">
      <alignment horizontal="center"/>
    </xf>
    <xf numFmtId="185" fontId="0" fillId="0" borderId="12" xfId="0" applyNumberFormat="1" applyFill="1" applyBorder="1" applyAlignment="1">
      <alignment horizontal="center"/>
    </xf>
    <xf numFmtId="0" fontId="10" fillId="0" borderId="13" xfId="0" applyFont="1" applyFill="1" applyBorder="1" applyAlignment="1">
      <alignment horizontal="center" wrapText="1"/>
    </xf>
    <xf numFmtId="0" fontId="10" fillId="0" borderId="14" xfId="0" applyFont="1" applyFill="1" applyBorder="1" applyAlignment="1">
      <alignment horizontal="center" wrapText="1"/>
    </xf>
    <xf numFmtId="0" fontId="10" fillId="0" borderId="12" xfId="0" applyFont="1" applyFill="1" applyBorder="1" applyAlignment="1">
      <alignment horizontal="center" wrapText="1"/>
    </xf>
    <xf numFmtId="0" fontId="15" fillId="0" borderId="10" xfId="0" applyFont="1" applyFill="1" applyBorder="1" applyAlignment="1">
      <alignment horizontal="center" wrapText="1"/>
    </xf>
    <xf numFmtId="0" fontId="21" fillId="0" borderId="0" xfId="57" applyFont="1" applyFill="1" applyAlignment="1">
      <alignment horizontal="center" vertical="center"/>
      <protection/>
    </xf>
    <xf numFmtId="181" fontId="29" fillId="0" borderId="10" xfId="42" applyNumberFormat="1" applyFont="1" applyFill="1" applyBorder="1" applyAlignment="1">
      <alignment horizontal="center" vertical="center" wrapText="1"/>
    </xf>
    <xf numFmtId="49" fontId="15" fillId="0" borderId="13"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15" fillId="0" borderId="0" xfId="0" applyNumberFormat="1" applyFont="1" applyFill="1" applyAlignment="1">
      <alignment horizontal="left" wrapText="1"/>
    </xf>
    <xf numFmtId="0" fontId="41" fillId="0" borderId="13" xfId="57" applyFont="1" applyFill="1" applyBorder="1" applyAlignment="1">
      <alignment horizontal="left" wrapText="1"/>
      <protection/>
    </xf>
    <xf numFmtId="0" fontId="41" fillId="0" borderId="12" xfId="57" applyFont="1" applyFill="1" applyBorder="1" applyAlignment="1">
      <alignment horizontal="left" wrapText="1"/>
      <protection/>
    </xf>
    <xf numFmtId="1" fontId="29" fillId="0" borderId="10" xfId="0" applyNumberFormat="1" applyFont="1" applyFill="1" applyBorder="1" applyAlignment="1">
      <alignment horizontal="center" vertical="center" wrapText="1"/>
    </xf>
    <xf numFmtId="1" fontId="15" fillId="0" borderId="13" xfId="0" applyNumberFormat="1" applyFont="1" applyFill="1" applyBorder="1" applyAlignment="1">
      <alignment horizontal="center" vertical="center" wrapText="1"/>
    </xf>
    <xf numFmtId="1" fontId="15" fillId="0" borderId="12" xfId="0" applyNumberFormat="1" applyFont="1" applyFill="1" applyBorder="1" applyAlignment="1">
      <alignment horizontal="center" vertical="center" wrapText="1"/>
    </xf>
    <xf numFmtId="0" fontId="20" fillId="0" borderId="0" xfId="57" applyFont="1" applyFill="1" applyAlignment="1">
      <alignment horizontal="left" vertical="top"/>
      <protection/>
    </xf>
    <xf numFmtId="49" fontId="29" fillId="0" borderId="13" xfId="0" applyNumberFormat="1" applyFont="1" applyFill="1" applyBorder="1" applyAlignment="1">
      <alignment vertical="center" wrapText="1"/>
    </xf>
    <xf numFmtId="49" fontId="29" fillId="0" borderId="14" xfId="0" applyNumberFormat="1" applyFont="1" applyFill="1" applyBorder="1" applyAlignment="1">
      <alignment vertical="center" wrapText="1"/>
    </xf>
    <xf numFmtId="49" fontId="29" fillId="0" borderId="12" xfId="0" applyNumberFormat="1" applyFont="1" applyFill="1" applyBorder="1" applyAlignment="1">
      <alignment vertical="center" wrapText="1"/>
    </xf>
    <xf numFmtId="49" fontId="29" fillId="0" borderId="15" xfId="0" applyNumberFormat="1" applyFont="1" applyFill="1" applyBorder="1" applyAlignment="1">
      <alignment horizontal="center" vertical="center" wrapText="1"/>
    </xf>
    <xf numFmtId="49" fontId="29" fillId="0" borderId="11"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wrapText="1"/>
    </xf>
    <xf numFmtId="49" fontId="29" fillId="0" borderId="24" xfId="0" applyNumberFormat="1" applyFont="1" applyFill="1" applyBorder="1" applyAlignment="1">
      <alignment horizontal="center" vertical="center" wrapText="1"/>
    </xf>
    <xf numFmtId="49" fontId="29" fillId="0" borderId="19" xfId="0" applyNumberFormat="1" applyFont="1" applyFill="1" applyBorder="1" applyAlignment="1">
      <alignment horizontal="center" vertical="center" wrapText="1"/>
    </xf>
    <xf numFmtId="0" fontId="17" fillId="0" borderId="0" xfId="0" applyFont="1" applyFill="1" applyAlignment="1">
      <alignment horizontal="center" vertical="center"/>
    </xf>
    <xf numFmtId="0" fontId="44" fillId="0" borderId="10" xfId="0" applyFont="1" applyFill="1" applyBorder="1" applyAlignment="1">
      <alignment horizontal="center" vertical="center" wrapText="1"/>
    </xf>
    <xf numFmtId="0" fontId="44" fillId="0" borderId="15" xfId="0" applyFont="1" applyFill="1" applyBorder="1" applyAlignment="1">
      <alignment horizontal="center" vertical="center" wrapText="1"/>
    </xf>
    <xf numFmtId="181" fontId="44" fillId="0" borderId="10" xfId="42" applyNumberFormat="1" applyFont="1" applyFill="1" applyBorder="1" applyAlignment="1">
      <alignment horizontal="center" vertical="center" wrapText="1"/>
    </xf>
    <xf numFmtId="181" fontId="44" fillId="0" borderId="15" xfId="42"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wrapText="1"/>
    </xf>
    <xf numFmtId="49" fontId="44" fillId="0" borderId="15" xfId="0" applyNumberFormat="1" applyFont="1" applyFill="1" applyBorder="1" applyAlignment="1">
      <alignment horizontal="center" vertical="center" wrapText="1"/>
    </xf>
    <xf numFmtId="0" fontId="44" fillId="0" borderId="10" xfId="0" applyFont="1" applyFill="1" applyBorder="1" applyAlignment="1">
      <alignment horizontal="center"/>
    </xf>
    <xf numFmtId="1" fontId="29" fillId="0" borderId="18" xfId="0" applyNumberFormat="1" applyFont="1" applyFill="1" applyBorder="1" applyAlignment="1">
      <alignment horizontal="center" vertical="center" wrapText="1"/>
    </xf>
    <xf numFmtId="1" fontId="29" fillId="0" borderId="19" xfId="0" applyNumberFormat="1" applyFont="1" applyFill="1" applyBorder="1" applyAlignment="1">
      <alignment horizontal="center" vertical="center" wrapText="1"/>
    </xf>
    <xf numFmtId="1" fontId="29" fillId="0" borderId="20" xfId="0" applyNumberFormat="1" applyFont="1" applyFill="1" applyBorder="1" applyAlignment="1">
      <alignment horizontal="center" vertical="center" wrapText="1"/>
    </xf>
    <xf numFmtId="1" fontId="29" fillId="0" borderId="21"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20" fillId="0" borderId="0" xfId="59" applyFont="1" applyFill="1" applyAlignment="1">
      <alignment horizontal="left" vertical="top"/>
      <protection/>
    </xf>
    <xf numFmtId="0" fontId="19" fillId="0" borderId="0" xfId="59" applyFont="1" applyFill="1" applyAlignment="1">
      <alignment horizontal="center" vertical="center"/>
      <protection/>
    </xf>
    <xf numFmtId="0" fontId="21" fillId="0" borderId="0" xfId="59" applyFont="1" applyFill="1" applyAlignment="1">
      <alignment horizontal="center" vertical="center"/>
      <protection/>
    </xf>
    <xf numFmtId="0" fontId="52" fillId="0" borderId="10" xfId="0" applyFont="1" applyFill="1" applyBorder="1" applyAlignment="1">
      <alignment horizontal="center" vertical="center"/>
    </xf>
    <xf numFmtId="181" fontId="52" fillId="0" borderId="10" xfId="42" applyNumberFormat="1" applyFont="1" applyFill="1" applyBorder="1" applyAlignment="1">
      <alignment horizontal="center" vertical="center" wrapText="1"/>
    </xf>
    <xf numFmtId="0" fontId="19" fillId="0" borderId="0" xfId="59" applyFont="1" applyFill="1" applyAlignment="1">
      <alignment horizontal="center"/>
      <protection/>
    </xf>
    <xf numFmtId="0" fontId="52" fillId="0" borderId="18"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23" xfId="0"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0" fontId="29" fillId="0" borderId="13" xfId="59" applyFont="1" applyFill="1" applyBorder="1" applyAlignment="1">
      <alignment horizontal="left" vertical="center" wrapText="1"/>
      <protection/>
    </xf>
    <xf numFmtId="0" fontId="29" fillId="0" borderId="12" xfId="59" applyFont="1" applyFill="1" applyBorder="1" applyAlignment="1">
      <alignment horizontal="left" vertical="center" wrapText="1"/>
      <protection/>
    </xf>
    <xf numFmtId="0" fontId="19" fillId="0" borderId="0" xfId="58" applyFont="1" applyFill="1" applyAlignment="1">
      <alignment horizontal="center" vertical="center"/>
      <protection/>
    </xf>
    <xf numFmtId="0" fontId="21" fillId="0" borderId="0" xfId="58" applyFont="1" applyFill="1" applyAlignment="1">
      <alignment horizontal="center" vertical="center"/>
      <protection/>
    </xf>
    <xf numFmtId="0" fontId="20" fillId="0" borderId="0" xfId="58" applyFont="1" applyFill="1" applyAlignment="1">
      <alignment horizontal="left" vertical="top"/>
      <protection/>
    </xf>
    <xf numFmtId="0" fontId="19" fillId="0" borderId="0" xfId="58" applyFont="1" applyFill="1" applyAlignment="1">
      <alignment horizontal="center"/>
      <protection/>
    </xf>
    <xf numFmtId="181" fontId="29" fillId="0" borderId="13" xfId="42" applyNumberFormat="1" applyFont="1" applyFill="1" applyBorder="1" applyAlignment="1">
      <alignment horizontal="left" wrapText="1"/>
    </xf>
    <xf numFmtId="181" fontId="29" fillId="0" borderId="12" xfId="42" applyNumberFormat="1" applyFont="1" applyFill="1" applyBorder="1" applyAlignment="1">
      <alignment horizontal="left" wrapText="1"/>
    </xf>
    <xf numFmtId="181" fontId="14" fillId="0" borderId="13" xfId="42" applyNumberFormat="1" applyFont="1" applyFill="1" applyBorder="1" applyAlignment="1">
      <alignment horizontal="left"/>
    </xf>
    <xf numFmtId="181" fontId="14" fillId="0" borderId="12" xfId="42" applyNumberFormat="1" applyFont="1" applyFill="1" applyBorder="1" applyAlignment="1">
      <alignment horizontal="left"/>
    </xf>
    <xf numFmtId="181" fontId="29" fillId="0" borderId="13" xfId="42" applyNumberFormat="1" applyFont="1" applyFill="1" applyBorder="1" applyAlignment="1">
      <alignment horizontal="center" vertical="center" wrapText="1"/>
    </xf>
    <xf numFmtId="181" fontId="29" fillId="0" borderId="12" xfId="42"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4" fillId="0" borderId="0" xfId="57" applyFont="1" applyFill="1" applyAlignment="1">
      <alignment horizontal="center" vertical="center"/>
      <protection/>
    </xf>
    <xf numFmtId="0" fontId="28" fillId="0" borderId="0" xfId="57" applyFont="1" applyFill="1" applyAlignment="1">
      <alignment horizontal="center" vertical="center"/>
      <protection/>
    </xf>
    <xf numFmtId="0" fontId="29" fillId="0" borderId="0" xfId="0" applyFont="1" applyFill="1" applyAlignment="1">
      <alignment vertical="center" wrapText="1"/>
    </xf>
    <xf numFmtId="0" fontId="15" fillId="0" borderId="0" xfId="0" applyFont="1" applyFill="1" applyAlignment="1">
      <alignment vertical="center" wrapText="1"/>
    </xf>
    <xf numFmtId="0" fontId="29" fillId="0" borderId="13" xfId="57" applyFont="1" applyFill="1" applyBorder="1" applyAlignment="1">
      <alignment horizontal="left" wrapText="1"/>
      <protection/>
    </xf>
    <xf numFmtId="0" fontId="29" fillId="0" borderId="12" xfId="57" applyFont="1" applyFill="1" applyBorder="1" applyAlignment="1">
      <alignment horizontal="left" wrapText="1"/>
      <protection/>
    </xf>
    <xf numFmtId="0" fontId="39" fillId="0" borderId="13"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4" fillId="0" borderId="13" xfId="57" applyFont="1" applyFill="1" applyBorder="1" applyAlignment="1">
      <alignment horizontal="left" wrapText="1"/>
      <protection/>
    </xf>
    <xf numFmtId="0" fontId="14" fillId="0" borderId="12" xfId="57" applyFont="1" applyFill="1" applyBorder="1" applyAlignment="1">
      <alignment horizontal="left" wrapText="1"/>
      <protection/>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center" vertical="center" wrapText="1"/>
    </xf>
    <xf numFmtId="181" fontId="15" fillId="0" borderId="18" xfId="42" applyNumberFormat="1" applyFont="1" applyFill="1" applyBorder="1" applyAlignment="1">
      <alignment horizontal="center" vertical="center" wrapText="1"/>
    </xf>
    <xf numFmtId="181" fontId="15" fillId="0" borderId="19" xfId="42" applyNumberFormat="1" applyFont="1" applyFill="1" applyBorder="1" applyAlignment="1">
      <alignment horizontal="center" vertical="center" wrapText="1"/>
    </xf>
    <xf numFmtId="181" fontId="15" fillId="0" borderId="20" xfId="42" applyNumberFormat="1" applyFont="1" applyFill="1" applyBorder="1" applyAlignment="1">
      <alignment horizontal="center" vertical="center" wrapText="1"/>
    </xf>
    <xf numFmtId="181" fontId="15" fillId="0" borderId="21" xfId="42" applyNumberFormat="1" applyFont="1" applyFill="1" applyBorder="1" applyAlignment="1">
      <alignment horizontal="center" vertical="center" wrapText="1"/>
    </xf>
    <xf numFmtId="181" fontId="15" fillId="0" borderId="22" xfId="42" applyNumberFormat="1" applyFont="1" applyFill="1" applyBorder="1" applyAlignment="1">
      <alignment horizontal="center" vertical="center" wrapText="1"/>
    </xf>
    <xf numFmtId="181" fontId="15" fillId="0" borderId="23" xfId="42" applyNumberFormat="1" applyFont="1" applyFill="1" applyBorder="1" applyAlignment="1">
      <alignment horizontal="center" vertical="center" wrapText="1"/>
    </xf>
    <xf numFmtId="185" fontId="15" fillId="0" borderId="13" xfId="0" applyNumberFormat="1" applyFont="1" applyFill="1" applyBorder="1" applyAlignment="1">
      <alignment horizontal="center" vertical="center" wrapText="1"/>
    </xf>
    <xf numFmtId="185" fontId="15" fillId="0" borderId="12" xfId="0" applyNumberFormat="1" applyFont="1" applyFill="1" applyBorder="1" applyAlignment="1">
      <alignment horizontal="center" vertical="center" wrapText="1"/>
    </xf>
    <xf numFmtId="0" fontId="0" fillId="0" borderId="10" xfId="0" applyFont="1" applyFill="1" applyBorder="1" applyAlignment="1">
      <alignment horizontal="center"/>
    </xf>
    <xf numFmtId="0" fontId="0" fillId="0" borderId="10" xfId="0" applyFont="1" applyFill="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_Bieu mau Thong ke - phuc vu tong ket (2011-10-04)- sua theo y chi Yen" xfId="58"/>
    <cellStyle name="Normal 2_Bieu mau Thong ke - phuc vu tong ket (2011-10-24)- sua theo gop y cua cac don vi" xfId="59"/>
    <cellStyle name="Normal 2_Bieu mau Thong ke TP(2011-09-20)"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238125</xdr:rowOff>
    </xdr:from>
    <xdr:to>
      <xdr:col>1</xdr:col>
      <xdr:colOff>371475</xdr:colOff>
      <xdr:row>0</xdr:row>
      <xdr:rowOff>238125</xdr:rowOff>
    </xdr:to>
    <xdr:sp>
      <xdr:nvSpPr>
        <xdr:cNvPr id="1" name="Straight Connector 1"/>
        <xdr:cNvSpPr>
          <a:spLocks/>
        </xdr:cNvSpPr>
      </xdr:nvSpPr>
      <xdr:spPr>
        <a:xfrm>
          <a:off x="295275" y="2381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14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1</xdr:row>
      <xdr:rowOff>9525</xdr:rowOff>
    </xdr:from>
    <xdr:to>
      <xdr:col>1</xdr:col>
      <xdr:colOff>752475</xdr:colOff>
      <xdr:row>1</xdr:row>
      <xdr:rowOff>9525</xdr:rowOff>
    </xdr:to>
    <xdr:sp>
      <xdr:nvSpPr>
        <xdr:cNvPr id="1" name="Line 5"/>
        <xdr:cNvSpPr>
          <a:spLocks/>
        </xdr:cNvSpPr>
      </xdr:nvSpPr>
      <xdr:spPr>
        <a:xfrm>
          <a:off x="609600" y="247650"/>
          <a:ext cx="457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228600</xdr:rowOff>
    </xdr:from>
    <xdr:to>
      <xdr:col>1</xdr:col>
      <xdr:colOff>495300</xdr:colOff>
      <xdr:row>0</xdr:row>
      <xdr:rowOff>228600</xdr:rowOff>
    </xdr:to>
    <xdr:sp>
      <xdr:nvSpPr>
        <xdr:cNvPr id="1" name="Straight Connector 1"/>
        <xdr:cNvSpPr>
          <a:spLocks/>
        </xdr:cNvSpPr>
      </xdr:nvSpPr>
      <xdr:spPr>
        <a:xfrm>
          <a:off x="342900" y="228600"/>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2"/>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238125</xdr:rowOff>
    </xdr:from>
    <xdr:to>
      <xdr:col>1</xdr:col>
      <xdr:colOff>514350</xdr:colOff>
      <xdr:row>0</xdr:row>
      <xdr:rowOff>238125</xdr:rowOff>
    </xdr:to>
    <xdr:sp>
      <xdr:nvSpPr>
        <xdr:cNvPr id="1" name="Straight Connector 1"/>
        <xdr:cNvSpPr>
          <a:spLocks/>
        </xdr:cNvSpPr>
      </xdr:nvSpPr>
      <xdr:spPr>
        <a:xfrm>
          <a:off x="247650" y="238125"/>
          <a:ext cx="523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238125</xdr:rowOff>
    </xdr:from>
    <xdr:to>
      <xdr:col>1</xdr:col>
      <xdr:colOff>438150</xdr:colOff>
      <xdr:row>0</xdr:row>
      <xdr:rowOff>238125</xdr:rowOff>
    </xdr:to>
    <xdr:sp>
      <xdr:nvSpPr>
        <xdr:cNvPr id="1" name="Straight Connector 1"/>
        <xdr:cNvSpPr>
          <a:spLocks/>
        </xdr:cNvSpPr>
      </xdr:nvSpPr>
      <xdr:spPr>
        <a:xfrm>
          <a:off x="295275" y="238125"/>
          <a:ext cx="438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238125</xdr:rowOff>
    </xdr:from>
    <xdr:to>
      <xdr:col>1</xdr:col>
      <xdr:colOff>447675</xdr:colOff>
      <xdr:row>0</xdr:row>
      <xdr:rowOff>238125</xdr:rowOff>
    </xdr:to>
    <xdr:sp>
      <xdr:nvSpPr>
        <xdr:cNvPr id="1" name="Straight Connector 1"/>
        <xdr:cNvSpPr>
          <a:spLocks/>
        </xdr:cNvSpPr>
      </xdr:nvSpPr>
      <xdr:spPr>
        <a:xfrm>
          <a:off x="209550" y="238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1</xdr:col>
      <xdr:colOff>419100</xdr:colOff>
      <xdr:row>1</xdr:row>
      <xdr:rowOff>9525</xdr:rowOff>
    </xdr:to>
    <xdr:sp>
      <xdr:nvSpPr>
        <xdr:cNvPr id="1" name="Straight Connector 1"/>
        <xdr:cNvSpPr>
          <a:spLocks/>
        </xdr:cNvSpPr>
      </xdr:nvSpPr>
      <xdr:spPr>
        <a:xfrm>
          <a:off x="295275" y="219075"/>
          <a:ext cx="419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132"/>
  <sheetViews>
    <sheetView view="pageLayout" workbookViewId="0" topLeftCell="A2">
      <selection activeCell="C13" sqref="C13:R13"/>
    </sheetView>
  </sheetViews>
  <sheetFormatPr defaultColWidth="9.140625" defaultRowHeight="12.75"/>
  <cols>
    <col min="1" max="1" width="4.421875" style="1" customWidth="1"/>
    <col min="2" max="2" width="12.57421875" style="1" customWidth="1"/>
    <col min="3" max="3" width="7.00390625" style="1" customWidth="1"/>
    <col min="4" max="4" width="6.140625" style="1" customWidth="1"/>
    <col min="5" max="5" width="6.57421875" style="1" customWidth="1"/>
    <col min="6" max="6" width="6.8515625" style="1" customWidth="1"/>
    <col min="7" max="7" width="6.421875" style="1" customWidth="1"/>
    <col min="8" max="9" width="6.140625" style="1" customWidth="1"/>
    <col min="10" max="10" width="8.00390625" style="1" customWidth="1"/>
    <col min="11" max="11" width="8.57421875" style="128" customWidth="1"/>
    <col min="12" max="12" width="8.57421875" style="1" customWidth="1"/>
    <col min="13" max="13" width="7.7109375" style="1" customWidth="1"/>
    <col min="14" max="14" width="8.7109375" style="1" customWidth="1"/>
    <col min="15" max="15" width="8.57421875" style="1" customWidth="1"/>
    <col min="16" max="16" width="9.421875" style="1" customWidth="1"/>
    <col min="17" max="17" width="8.00390625" style="1" customWidth="1"/>
    <col min="18" max="18" width="7.57421875" style="1" customWidth="1"/>
    <col min="19" max="16384" width="9.140625" style="177" customWidth="1"/>
  </cols>
  <sheetData>
    <row r="1" spans="1:18" ht="19.5" customHeight="1">
      <c r="A1" s="49" t="s">
        <v>7</v>
      </c>
      <c r="B1" s="49"/>
      <c r="C1" s="35"/>
      <c r="D1" s="25"/>
      <c r="E1" s="25"/>
      <c r="F1" s="25"/>
      <c r="G1" s="25"/>
      <c r="H1" s="25"/>
      <c r="I1" s="25"/>
      <c r="J1" s="25"/>
      <c r="K1" s="72"/>
      <c r="L1" s="25"/>
      <c r="M1" s="25"/>
      <c r="N1" s="25"/>
      <c r="O1" s="25"/>
      <c r="P1" s="25"/>
      <c r="Q1" s="25"/>
      <c r="R1" s="25"/>
    </row>
    <row r="2" spans="1:18" ht="23.25" customHeight="1">
      <c r="A2" s="293" t="s">
        <v>143</v>
      </c>
      <c r="B2" s="293"/>
      <c r="C2" s="293"/>
      <c r="D2" s="293"/>
      <c r="E2" s="293"/>
      <c r="F2" s="293"/>
      <c r="G2" s="293"/>
      <c r="H2" s="293"/>
      <c r="I2" s="293"/>
      <c r="J2" s="293"/>
      <c r="K2" s="293"/>
      <c r="L2" s="293"/>
      <c r="M2" s="293"/>
      <c r="N2" s="293"/>
      <c r="O2" s="293"/>
      <c r="P2" s="293"/>
      <c r="Q2" s="293"/>
      <c r="R2" s="293"/>
    </row>
    <row r="3" spans="1:18" ht="24" customHeight="1">
      <c r="A3" s="292" t="s">
        <v>144</v>
      </c>
      <c r="B3" s="292"/>
      <c r="C3" s="292"/>
      <c r="D3" s="292"/>
      <c r="E3" s="292"/>
      <c r="F3" s="292"/>
      <c r="G3" s="292"/>
      <c r="H3" s="292"/>
      <c r="I3" s="292"/>
      <c r="J3" s="292"/>
      <c r="K3" s="292"/>
      <c r="L3" s="292"/>
      <c r="M3" s="292"/>
      <c r="N3" s="292"/>
      <c r="O3" s="292"/>
      <c r="P3" s="292"/>
      <c r="Q3" s="292"/>
      <c r="R3" s="292"/>
    </row>
    <row r="4" spans="1:18" ht="24" customHeight="1">
      <c r="A4" s="293" t="s">
        <v>281</v>
      </c>
      <c r="B4" s="294"/>
      <c r="C4" s="294"/>
      <c r="D4" s="294"/>
      <c r="E4" s="294"/>
      <c r="F4" s="294"/>
      <c r="G4" s="294"/>
      <c r="H4" s="294"/>
      <c r="I4" s="294"/>
      <c r="J4" s="294"/>
      <c r="K4" s="294"/>
      <c r="L4" s="294"/>
      <c r="M4" s="294"/>
      <c r="N4" s="294"/>
      <c r="O4" s="294"/>
      <c r="P4" s="294"/>
      <c r="Q4" s="294"/>
      <c r="R4" s="294"/>
    </row>
    <row r="5" spans="1:18" ht="15.75">
      <c r="A5" s="2"/>
      <c r="B5" s="39"/>
      <c r="C5" s="39"/>
      <c r="D5" s="17"/>
      <c r="E5" s="17"/>
      <c r="F5" s="18"/>
      <c r="G5" s="18"/>
      <c r="H5" s="18"/>
      <c r="I5" s="19"/>
      <c r="J5" s="17"/>
      <c r="K5" s="73"/>
      <c r="L5" s="17"/>
      <c r="M5" s="17"/>
      <c r="N5" s="18"/>
      <c r="O5" s="41" t="s">
        <v>45</v>
      </c>
      <c r="P5" s="18"/>
      <c r="Q5" s="18"/>
      <c r="R5" s="19"/>
    </row>
    <row r="6" spans="1:18" ht="40.5" customHeight="1">
      <c r="A6" s="281"/>
      <c r="B6" s="282"/>
      <c r="C6" s="296" t="s">
        <v>34</v>
      </c>
      <c r="D6" s="296"/>
      <c r="E6" s="296"/>
      <c r="F6" s="296"/>
      <c r="G6" s="296"/>
      <c r="H6" s="296"/>
      <c r="I6" s="296"/>
      <c r="J6" s="278" t="s">
        <v>35</v>
      </c>
      <c r="K6" s="296" t="s">
        <v>101</v>
      </c>
      <c r="L6" s="296"/>
      <c r="M6" s="296"/>
      <c r="N6" s="296"/>
      <c r="O6" s="296"/>
      <c r="P6" s="296" t="s">
        <v>41</v>
      </c>
      <c r="Q6" s="296"/>
      <c r="R6" s="296"/>
    </row>
    <row r="7" spans="1:18" ht="12.75" customHeight="1">
      <c r="A7" s="283"/>
      <c r="B7" s="284"/>
      <c r="C7" s="289" t="s">
        <v>9</v>
      </c>
      <c r="D7" s="300" t="s">
        <v>44</v>
      </c>
      <c r="E7" s="300"/>
      <c r="F7" s="300"/>
      <c r="G7" s="300"/>
      <c r="H7" s="300"/>
      <c r="I7" s="300"/>
      <c r="J7" s="279"/>
      <c r="K7" s="301" t="s">
        <v>9</v>
      </c>
      <c r="L7" s="297" t="s">
        <v>44</v>
      </c>
      <c r="M7" s="297"/>
      <c r="N7" s="297"/>
      <c r="O7" s="297"/>
      <c r="P7" s="297" t="s">
        <v>9</v>
      </c>
      <c r="Q7" s="297" t="s">
        <v>44</v>
      </c>
      <c r="R7" s="297"/>
    </row>
    <row r="8" spans="1:18" ht="12.75">
      <c r="A8" s="283"/>
      <c r="B8" s="284"/>
      <c r="C8" s="290"/>
      <c r="D8" s="289" t="s">
        <v>13</v>
      </c>
      <c r="E8" s="289" t="s">
        <v>250</v>
      </c>
      <c r="F8" s="289" t="s">
        <v>10</v>
      </c>
      <c r="G8" s="289" t="s">
        <v>11</v>
      </c>
      <c r="H8" s="289" t="s">
        <v>129</v>
      </c>
      <c r="I8" s="289" t="s">
        <v>12</v>
      </c>
      <c r="J8" s="279"/>
      <c r="K8" s="301"/>
      <c r="L8" s="298" t="s">
        <v>55</v>
      </c>
      <c r="M8" s="298" t="s">
        <v>56</v>
      </c>
      <c r="N8" s="298" t="s">
        <v>57</v>
      </c>
      <c r="O8" s="298"/>
      <c r="P8" s="297"/>
      <c r="Q8" s="298" t="s">
        <v>42</v>
      </c>
      <c r="R8" s="298" t="s">
        <v>43</v>
      </c>
    </row>
    <row r="9" spans="1:18" ht="31.5" customHeight="1">
      <c r="A9" s="283"/>
      <c r="B9" s="284"/>
      <c r="C9" s="290"/>
      <c r="D9" s="290"/>
      <c r="E9" s="290"/>
      <c r="F9" s="290"/>
      <c r="G9" s="290"/>
      <c r="H9" s="290"/>
      <c r="I9" s="290"/>
      <c r="J9" s="279"/>
      <c r="K9" s="301"/>
      <c r="L9" s="298"/>
      <c r="M9" s="298"/>
      <c r="N9" s="289" t="s">
        <v>9</v>
      </c>
      <c r="O9" s="289" t="s">
        <v>58</v>
      </c>
      <c r="P9" s="297"/>
      <c r="Q9" s="298"/>
      <c r="R9" s="298"/>
    </row>
    <row r="10" spans="1:18" ht="12.75">
      <c r="A10" s="283"/>
      <c r="B10" s="284"/>
      <c r="C10" s="290"/>
      <c r="D10" s="290"/>
      <c r="E10" s="290"/>
      <c r="F10" s="290"/>
      <c r="G10" s="290"/>
      <c r="H10" s="290"/>
      <c r="I10" s="290"/>
      <c r="J10" s="279"/>
      <c r="K10" s="301"/>
      <c r="L10" s="298"/>
      <c r="M10" s="298"/>
      <c r="N10" s="290"/>
      <c r="O10" s="290"/>
      <c r="P10" s="297"/>
      <c r="Q10" s="298"/>
      <c r="R10" s="298"/>
    </row>
    <row r="11" spans="1:18" ht="45" customHeight="1">
      <c r="A11" s="285"/>
      <c r="B11" s="286"/>
      <c r="C11" s="295"/>
      <c r="D11" s="291"/>
      <c r="E11" s="291"/>
      <c r="F11" s="295"/>
      <c r="G11" s="295"/>
      <c r="H11" s="295"/>
      <c r="I11" s="295"/>
      <c r="J11" s="280"/>
      <c r="K11" s="301"/>
      <c r="L11" s="299"/>
      <c r="M11" s="299"/>
      <c r="N11" s="295"/>
      <c r="O11" s="295"/>
      <c r="P11" s="297"/>
      <c r="Q11" s="298"/>
      <c r="R11" s="298"/>
    </row>
    <row r="12" spans="1:18" ht="12.75">
      <c r="A12" s="287" t="s">
        <v>40</v>
      </c>
      <c r="B12" s="288"/>
      <c r="C12" s="44">
        <v>1</v>
      </c>
      <c r="D12" s="44">
        <v>2</v>
      </c>
      <c r="E12" s="44">
        <v>3</v>
      </c>
      <c r="F12" s="44">
        <v>4</v>
      </c>
      <c r="G12" s="44">
        <v>5</v>
      </c>
      <c r="H12" s="44">
        <v>6</v>
      </c>
      <c r="I12" s="44">
        <v>7</v>
      </c>
      <c r="J12" s="44">
        <v>8</v>
      </c>
      <c r="K12" s="44">
        <v>9</v>
      </c>
      <c r="L12" s="44">
        <v>10</v>
      </c>
      <c r="M12" s="44">
        <v>11</v>
      </c>
      <c r="N12" s="44">
        <v>12</v>
      </c>
      <c r="O12" s="44">
        <v>13</v>
      </c>
      <c r="P12" s="44">
        <v>14</v>
      </c>
      <c r="Q12" s="44">
        <v>15</v>
      </c>
      <c r="R12" s="44">
        <v>16</v>
      </c>
    </row>
    <row r="13" spans="1:18" ht="26.25" customHeight="1">
      <c r="A13" s="276" t="s">
        <v>97</v>
      </c>
      <c r="B13" s="277"/>
      <c r="C13" s="196">
        <f aca="true" t="shared" si="0" ref="C13:R13">C14+C36</f>
        <v>799</v>
      </c>
      <c r="D13" s="196">
        <f t="shared" si="0"/>
        <v>11</v>
      </c>
      <c r="E13" s="196">
        <f t="shared" si="0"/>
        <v>2</v>
      </c>
      <c r="F13" s="256">
        <f t="shared" si="0"/>
        <v>0</v>
      </c>
      <c r="G13" s="196">
        <f t="shared" si="0"/>
        <v>98</v>
      </c>
      <c r="H13" s="196">
        <f t="shared" si="0"/>
        <v>41</v>
      </c>
      <c r="I13" s="196">
        <f t="shared" si="0"/>
        <v>647</v>
      </c>
      <c r="J13" s="196">
        <f t="shared" si="0"/>
        <v>922</v>
      </c>
      <c r="K13" s="196">
        <f t="shared" si="0"/>
        <v>54997</v>
      </c>
      <c r="L13" s="196">
        <f t="shared" si="0"/>
        <v>45542</v>
      </c>
      <c r="M13" s="196">
        <f t="shared" si="0"/>
        <v>6283</v>
      </c>
      <c r="N13" s="196">
        <f t="shared" si="0"/>
        <v>3172</v>
      </c>
      <c r="O13" s="196">
        <f t="shared" si="0"/>
        <v>136</v>
      </c>
      <c r="P13" s="196">
        <f t="shared" si="0"/>
        <v>7610</v>
      </c>
      <c r="Q13" s="196">
        <f t="shared" si="0"/>
        <v>3216</v>
      </c>
      <c r="R13" s="196">
        <f t="shared" si="0"/>
        <v>4402</v>
      </c>
    </row>
    <row r="14" spans="1:18" ht="30.75" customHeight="1">
      <c r="A14" s="276" t="s">
        <v>87</v>
      </c>
      <c r="B14" s="277"/>
      <c r="C14" s="197">
        <f aca="true" t="shared" si="1" ref="C14:R14">SUM(C15:C35)</f>
        <v>799</v>
      </c>
      <c r="D14" s="197">
        <f t="shared" si="1"/>
        <v>11</v>
      </c>
      <c r="E14" s="197">
        <f t="shared" si="1"/>
        <v>2</v>
      </c>
      <c r="F14" s="258">
        <f t="shared" si="1"/>
        <v>0</v>
      </c>
      <c r="G14" s="197">
        <f t="shared" si="1"/>
        <v>98</v>
      </c>
      <c r="H14" s="197">
        <f t="shared" si="1"/>
        <v>41</v>
      </c>
      <c r="I14" s="197">
        <f t="shared" si="1"/>
        <v>647</v>
      </c>
      <c r="J14" s="197">
        <f t="shared" si="1"/>
        <v>922</v>
      </c>
      <c r="K14" s="197">
        <f t="shared" si="1"/>
        <v>0</v>
      </c>
      <c r="L14" s="197">
        <f t="shared" si="1"/>
        <v>0</v>
      </c>
      <c r="M14" s="197">
        <f t="shared" si="1"/>
        <v>0</v>
      </c>
      <c r="N14" s="197">
        <f t="shared" si="1"/>
        <v>0</v>
      </c>
      <c r="O14" s="197">
        <f t="shared" si="1"/>
        <v>0</v>
      </c>
      <c r="P14" s="197">
        <f t="shared" si="1"/>
        <v>0</v>
      </c>
      <c r="Q14" s="197">
        <f t="shared" si="1"/>
        <v>0</v>
      </c>
      <c r="R14" s="197">
        <f t="shared" si="1"/>
        <v>0</v>
      </c>
    </row>
    <row r="15" spans="1:18" ht="15.75">
      <c r="A15" s="103">
        <v>1</v>
      </c>
      <c r="B15" s="104" t="s">
        <v>228</v>
      </c>
      <c r="C15" s="198">
        <f>SUM(D15:I15)</f>
        <v>105</v>
      </c>
      <c r="D15" s="74">
        <v>2</v>
      </c>
      <c r="E15" s="259">
        <v>0</v>
      </c>
      <c r="F15" s="257">
        <v>0</v>
      </c>
      <c r="G15" s="74">
        <v>16</v>
      </c>
      <c r="H15" s="74">
        <v>7</v>
      </c>
      <c r="I15" s="65">
        <f>69+11</f>
        <v>80</v>
      </c>
      <c r="J15" s="74">
        <v>78</v>
      </c>
      <c r="K15" s="75">
        <v>0</v>
      </c>
      <c r="L15" s="75">
        <v>0</v>
      </c>
      <c r="M15" s="75">
        <v>0</v>
      </c>
      <c r="N15" s="75">
        <v>0</v>
      </c>
      <c r="O15" s="75">
        <v>0</v>
      </c>
      <c r="P15" s="75">
        <v>0</v>
      </c>
      <c r="Q15" s="75">
        <v>0</v>
      </c>
      <c r="R15" s="75">
        <v>0</v>
      </c>
    </row>
    <row r="16" spans="1:18" ht="25.5">
      <c r="A16" s="103">
        <v>2</v>
      </c>
      <c r="B16" s="104" t="s">
        <v>192</v>
      </c>
      <c r="C16" s="198"/>
      <c r="D16" s="74"/>
      <c r="E16" s="65"/>
      <c r="F16" s="74"/>
      <c r="G16" s="74"/>
      <c r="H16" s="74"/>
      <c r="I16" s="65"/>
      <c r="J16" s="74"/>
      <c r="K16" s="75">
        <v>0</v>
      </c>
      <c r="L16" s="75">
        <v>0</v>
      </c>
      <c r="M16" s="75">
        <v>0</v>
      </c>
      <c r="N16" s="75">
        <v>0</v>
      </c>
      <c r="O16" s="75">
        <v>0</v>
      </c>
      <c r="P16" s="75">
        <v>0</v>
      </c>
      <c r="Q16" s="75">
        <v>0</v>
      </c>
      <c r="R16" s="75">
        <v>0</v>
      </c>
    </row>
    <row r="17" spans="1:18" ht="25.5">
      <c r="A17" s="103">
        <v>3</v>
      </c>
      <c r="B17" s="104" t="s">
        <v>193</v>
      </c>
      <c r="C17" s="198"/>
      <c r="D17" s="74"/>
      <c r="E17" s="65"/>
      <c r="F17" s="74"/>
      <c r="G17" s="74"/>
      <c r="H17" s="74"/>
      <c r="I17" s="65"/>
      <c r="J17" s="74"/>
      <c r="K17" s="75">
        <v>0</v>
      </c>
      <c r="L17" s="75">
        <v>0</v>
      </c>
      <c r="M17" s="75">
        <v>0</v>
      </c>
      <c r="N17" s="75">
        <v>0</v>
      </c>
      <c r="O17" s="75">
        <v>0</v>
      </c>
      <c r="P17" s="75">
        <v>0</v>
      </c>
      <c r="Q17" s="75">
        <v>0</v>
      </c>
      <c r="R17" s="75">
        <v>0</v>
      </c>
    </row>
    <row r="18" spans="1:18" ht="25.5">
      <c r="A18" s="103">
        <v>4</v>
      </c>
      <c r="B18" s="104" t="s">
        <v>194</v>
      </c>
      <c r="C18" s="198">
        <f aca="true" t="shared" si="2" ref="C18:C30">SUM(D18:I18)</f>
        <v>49</v>
      </c>
      <c r="D18" s="65"/>
      <c r="E18" s="65"/>
      <c r="F18" s="65"/>
      <c r="G18" s="74">
        <v>7</v>
      </c>
      <c r="H18" s="74">
        <v>2</v>
      </c>
      <c r="I18" s="65">
        <v>40</v>
      </c>
      <c r="J18" s="74">
        <v>40</v>
      </c>
      <c r="K18" s="75">
        <v>0</v>
      </c>
      <c r="L18" s="75">
        <v>0</v>
      </c>
      <c r="M18" s="75">
        <v>0</v>
      </c>
      <c r="N18" s="75">
        <v>0</v>
      </c>
      <c r="O18" s="75">
        <v>0</v>
      </c>
      <c r="P18" s="75">
        <v>0</v>
      </c>
      <c r="Q18" s="75">
        <v>0</v>
      </c>
      <c r="R18" s="75">
        <v>0</v>
      </c>
    </row>
    <row r="19" spans="1:18" ht="25.5">
      <c r="A19" s="103">
        <v>5</v>
      </c>
      <c r="B19" s="104" t="s">
        <v>195</v>
      </c>
      <c r="C19" s="198">
        <f t="shared" si="2"/>
        <v>14</v>
      </c>
      <c r="D19" s="74">
        <v>1</v>
      </c>
      <c r="E19" s="259">
        <v>0</v>
      </c>
      <c r="F19" s="257">
        <v>0</v>
      </c>
      <c r="G19" s="74">
        <v>6</v>
      </c>
      <c r="H19" s="74">
        <v>2</v>
      </c>
      <c r="I19" s="65">
        <v>5</v>
      </c>
      <c r="J19" s="74">
        <v>10</v>
      </c>
      <c r="K19" s="75">
        <v>0</v>
      </c>
      <c r="L19" s="75">
        <v>0</v>
      </c>
      <c r="M19" s="75">
        <v>0</v>
      </c>
      <c r="N19" s="75">
        <v>0</v>
      </c>
      <c r="O19" s="75">
        <v>0</v>
      </c>
      <c r="P19" s="75">
        <v>0</v>
      </c>
      <c r="Q19" s="75">
        <v>0</v>
      </c>
      <c r="R19" s="75">
        <v>0</v>
      </c>
    </row>
    <row r="20" spans="1:18" ht="25.5">
      <c r="A20" s="103">
        <v>6</v>
      </c>
      <c r="B20" s="104" t="s">
        <v>196</v>
      </c>
      <c r="C20" s="198"/>
      <c r="D20" s="74"/>
      <c r="E20" s="65"/>
      <c r="F20" s="74"/>
      <c r="G20" s="74"/>
      <c r="H20" s="74"/>
      <c r="I20" s="65"/>
      <c r="J20" s="74"/>
      <c r="K20" s="75">
        <v>0</v>
      </c>
      <c r="L20" s="75">
        <v>0</v>
      </c>
      <c r="M20" s="75">
        <v>0</v>
      </c>
      <c r="N20" s="75">
        <v>0</v>
      </c>
      <c r="O20" s="75">
        <v>0</v>
      </c>
      <c r="P20" s="75">
        <v>0</v>
      </c>
      <c r="Q20" s="75">
        <v>0</v>
      </c>
      <c r="R20" s="75">
        <v>0</v>
      </c>
    </row>
    <row r="21" spans="1:18" ht="38.25">
      <c r="A21" s="103">
        <v>7</v>
      </c>
      <c r="B21" s="104" t="s">
        <v>197</v>
      </c>
      <c r="C21" s="198"/>
      <c r="D21" s="74"/>
      <c r="E21" s="65"/>
      <c r="F21" s="74"/>
      <c r="G21" s="74"/>
      <c r="H21" s="74"/>
      <c r="I21" s="65"/>
      <c r="J21" s="74"/>
      <c r="K21" s="75">
        <v>0</v>
      </c>
      <c r="L21" s="75">
        <v>0</v>
      </c>
      <c r="M21" s="75">
        <v>0</v>
      </c>
      <c r="N21" s="75">
        <v>0</v>
      </c>
      <c r="O21" s="75">
        <v>0</v>
      </c>
      <c r="P21" s="75">
        <v>0</v>
      </c>
      <c r="Q21" s="75">
        <v>0</v>
      </c>
      <c r="R21" s="75">
        <v>0</v>
      </c>
    </row>
    <row r="22" spans="1:18" ht="15.75">
      <c r="A22" s="103">
        <v>8</v>
      </c>
      <c r="B22" s="104" t="s">
        <v>198</v>
      </c>
      <c r="C22" s="198">
        <f t="shared" si="2"/>
        <v>5</v>
      </c>
      <c r="D22" s="74"/>
      <c r="E22" s="65"/>
      <c r="F22" s="74"/>
      <c r="G22" s="74">
        <v>3</v>
      </c>
      <c r="H22" s="74"/>
      <c r="I22" s="65">
        <v>2</v>
      </c>
      <c r="J22" s="74">
        <v>2</v>
      </c>
      <c r="K22" s="75">
        <v>0</v>
      </c>
      <c r="L22" s="75">
        <v>0</v>
      </c>
      <c r="M22" s="75">
        <v>0</v>
      </c>
      <c r="N22" s="75">
        <v>0</v>
      </c>
      <c r="O22" s="75">
        <v>0</v>
      </c>
      <c r="P22" s="75">
        <v>0</v>
      </c>
      <c r="Q22" s="75">
        <v>0</v>
      </c>
      <c r="R22" s="75">
        <v>0</v>
      </c>
    </row>
    <row r="23" spans="1:18" ht="15.75">
      <c r="A23" s="103">
        <v>9</v>
      </c>
      <c r="B23" s="104" t="s">
        <v>199</v>
      </c>
      <c r="C23" s="198"/>
      <c r="D23" s="74"/>
      <c r="E23" s="65"/>
      <c r="F23" s="74"/>
      <c r="G23" s="74"/>
      <c r="H23" s="74"/>
      <c r="I23" s="65"/>
      <c r="J23" s="74"/>
      <c r="K23" s="75">
        <v>0</v>
      </c>
      <c r="L23" s="75">
        <v>0</v>
      </c>
      <c r="M23" s="75">
        <v>0</v>
      </c>
      <c r="N23" s="75">
        <v>0</v>
      </c>
      <c r="O23" s="75">
        <v>0</v>
      </c>
      <c r="P23" s="75">
        <v>0</v>
      </c>
      <c r="Q23" s="75">
        <v>0</v>
      </c>
      <c r="R23" s="75">
        <v>0</v>
      </c>
    </row>
    <row r="24" spans="1:18" ht="51">
      <c r="A24" s="103">
        <v>10</v>
      </c>
      <c r="B24" s="104" t="s">
        <v>200</v>
      </c>
      <c r="C24" s="198">
        <f t="shared" si="2"/>
        <v>61</v>
      </c>
      <c r="D24" s="65">
        <v>2</v>
      </c>
      <c r="E24" s="65"/>
      <c r="F24" s="65"/>
      <c r="G24" s="74">
        <v>5</v>
      </c>
      <c r="H24" s="74">
        <v>3</v>
      </c>
      <c r="I24" s="65">
        <v>51</v>
      </c>
      <c r="J24" s="74">
        <v>46</v>
      </c>
      <c r="K24" s="75">
        <v>0</v>
      </c>
      <c r="L24" s="75">
        <v>0</v>
      </c>
      <c r="M24" s="75">
        <v>0</v>
      </c>
      <c r="N24" s="75">
        <v>0</v>
      </c>
      <c r="O24" s="75">
        <v>0</v>
      </c>
      <c r="P24" s="75">
        <v>0</v>
      </c>
      <c r="Q24" s="75">
        <v>0</v>
      </c>
      <c r="R24" s="75">
        <v>0</v>
      </c>
    </row>
    <row r="25" spans="1:18" ht="25.5">
      <c r="A25" s="103">
        <v>11</v>
      </c>
      <c r="B25" s="104" t="s">
        <v>229</v>
      </c>
      <c r="C25" s="198">
        <f t="shared" si="2"/>
        <v>241</v>
      </c>
      <c r="D25" s="74">
        <v>1</v>
      </c>
      <c r="E25" s="65">
        <v>1</v>
      </c>
      <c r="F25" s="257">
        <v>0</v>
      </c>
      <c r="G25" s="74">
        <v>10</v>
      </c>
      <c r="H25" s="74">
        <v>4</v>
      </c>
      <c r="I25" s="65">
        <f>220+5</f>
        <v>225</v>
      </c>
      <c r="J25" s="74">
        <v>312</v>
      </c>
      <c r="K25" s="75">
        <v>0</v>
      </c>
      <c r="L25" s="75">
        <v>0</v>
      </c>
      <c r="M25" s="75">
        <v>0</v>
      </c>
      <c r="N25" s="75">
        <v>0</v>
      </c>
      <c r="O25" s="75">
        <v>0</v>
      </c>
      <c r="P25" s="75">
        <v>0</v>
      </c>
      <c r="Q25" s="75">
        <v>0</v>
      </c>
      <c r="R25" s="75">
        <v>0</v>
      </c>
    </row>
    <row r="26" spans="1:18" ht="15.75">
      <c r="A26" s="103">
        <v>12</v>
      </c>
      <c r="B26" s="104" t="s">
        <v>184</v>
      </c>
      <c r="C26" s="198">
        <f t="shared" si="2"/>
        <v>261</v>
      </c>
      <c r="D26" s="74">
        <v>2</v>
      </c>
      <c r="E26" s="65">
        <v>1</v>
      </c>
      <c r="F26" s="257">
        <v>0</v>
      </c>
      <c r="G26" s="74">
        <v>33</v>
      </c>
      <c r="H26" s="74">
        <v>19</v>
      </c>
      <c r="I26" s="65">
        <f>177+29</f>
        <v>206</v>
      </c>
      <c r="J26" s="74">
        <v>206</v>
      </c>
      <c r="K26" s="75">
        <v>0</v>
      </c>
      <c r="L26" s="75">
        <v>0</v>
      </c>
      <c r="M26" s="75">
        <v>0</v>
      </c>
      <c r="N26" s="75">
        <v>0</v>
      </c>
      <c r="O26" s="75">
        <v>0</v>
      </c>
      <c r="P26" s="75">
        <v>0</v>
      </c>
      <c r="Q26" s="75">
        <v>0</v>
      </c>
      <c r="R26" s="75">
        <v>0</v>
      </c>
    </row>
    <row r="27" spans="1:18" ht="25.5">
      <c r="A27" s="103">
        <v>13</v>
      </c>
      <c r="B27" s="104" t="s">
        <v>185</v>
      </c>
      <c r="C27" s="198"/>
      <c r="D27" s="74"/>
      <c r="E27" s="65"/>
      <c r="F27" s="74"/>
      <c r="G27" s="74"/>
      <c r="H27" s="74"/>
      <c r="I27" s="65"/>
      <c r="J27" s="74"/>
      <c r="K27" s="75">
        <v>0</v>
      </c>
      <c r="L27" s="75">
        <v>0</v>
      </c>
      <c r="M27" s="75">
        <v>0</v>
      </c>
      <c r="N27" s="75">
        <v>0</v>
      </c>
      <c r="O27" s="75">
        <v>0</v>
      </c>
      <c r="P27" s="75">
        <v>0</v>
      </c>
      <c r="Q27" s="75">
        <v>0</v>
      </c>
      <c r="R27" s="75">
        <v>0</v>
      </c>
    </row>
    <row r="28" spans="1:18" ht="38.25">
      <c r="A28" s="103">
        <v>14</v>
      </c>
      <c r="B28" s="104" t="s">
        <v>186</v>
      </c>
      <c r="C28" s="198"/>
      <c r="D28" s="74"/>
      <c r="E28" s="65"/>
      <c r="F28" s="74"/>
      <c r="G28" s="74"/>
      <c r="H28" s="74"/>
      <c r="I28" s="65"/>
      <c r="J28" s="74"/>
      <c r="K28" s="75">
        <v>0</v>
      </c>
      <c r="L28" s="75">
        <v>0</v>
      </c>
      <c r="M28" s="75">
        <v>0</v>
      </c>
      <c r="N28" s="75">
        <v>0</v>
      </c>
      <c r="O28" s="75">
        <v>0</v>
      </c>
      <c r="P28" s="75">
        <v>0</v>
      </c>
      <c r="Q28" s="75">
        <v>0</v>
      </c>
      <c r="R28" s="75">
        <v>0</v>
      </c>
    </row>
    <row r="29" spans="1:18" ht="15.75">
      <c r="A29" s="103">
        <v>15</v>
      </c>
      <c r="B29" s="104" t="s">
        <v>277</v>
      </c>
      <c r="C29" s="198">
        <f t="shared" si="2"/>
        <v>40</v>
      </c>
      <c r="D29" s="74">
        <v>2</v>
      </c>
      <c r="E29" s="257">
        <v>0</v>
      </c>
      <c r="F29" s="257">
        <v>0</v>
      </c>
      <c r="G29" s="74">
        <v>11</v>
      </c>
      <c r="H29" s="74">
        <v>4</v>
      </c>
      <c r="I29" s="65">
        <v>23</v>
      </c>
      <c r="J29" s="74">
        <v>221</v>
      </c>
      <c r="K29" s="75">
        <v>0</v>
      </c>
      <c r="L29" s="75">
        <v>0</v>
      </c>
      <c r="M29" s="75">
        <v>0</v>
      </c>
      <c r="N29" s="75">
        <v>0</v>
      </c>
      <c r="O29" s="75">
        <v>0</v>
      </c>
      <c r="P29" s="75">
        <v>0</v>
      </c>
      <c r="Q29" s="75">
        <v>0</v>
      </c>
      <c r="R29" s="75">
        <v>0</v>
      </c>
    </row>
    <row r="30" spans="1:18" ht="38.25">
      <c r="A30" s="103">
        <v>16</v>
      </c>
      <c r="B30" s="104" t="s">
        <v>187</v>
      </c>
      <c r="C30" s="198">
        <f t="shared" si="2"/>
        <v>11</v>
      </c>
      <c r="D30" s="257">
        <v>0</v>
      </c>
      <c r="E30" s="257">
        <v>0</v>
      </c>
      <c r="F30" s="257">
        <v>0</v>
      </c>
      <c r="G30" s="74">
        <v>4</v>
      </c>
      <c r="H30" s="257">
        <v>0</v>
      </c>
      <c r="I30" s="65">
        <v>7</v>
      </c>
      <c r="J30" s="74">
        <v>7</v>
      </c>
      <c r="K30" s="75">
        <v>0</v>
      </c>
      <c r="L30" s="75">
        <v>0</v>
      </c>
      <c r="M30" s="75">
        <v>0</v>
      </c>
      <c r="N30" s="75">
        <v>0</v>
      </c>
      <c r="O30" s="75">
        <v>0</v>
      </c>
      <c r="P30" s="75">
        <v>0</v>
      </c>
      <c r="Q30" s="75">
        <v>0</v>
      </c>
      <c r="R30" s="75">
        <v>0</v>
      </c>
    </row>
    <row r="31" spans="1:18" ht="15.75">
      <c r="A31" s="103">
        <v>17</v>
      </c>
      <c r="B31" s="104" t="s">
        <v>188</v>
      </c>
      <c r="C31" s="198"/>
      <c r="D31" s="74"/>
      <c r="E31" s="65"/>
      <c r="F31" s="74"/>
      <c r="G31" s="74"/>
      <c r="H31" s="74"/>
      <c r="I31" s="65"/>
      <c r="J31" s="74"/>
      <c r="K31" s="75">
        <v>0</v>
      </c>
      <c r="L31" s="75">
        <v>0</v>
      </c>
      <c r="M31" s="75">
        <v>0</v>
      </c>
      <c r="N31" s="75">
        <v>0</v>
      </c>
      <c r="O31" s="75">
        <v>0</v>
      </c>
      <c r="P31" s="75">
        <v>0</v>
      </c>
      <c r="Q31" s="75">
        <v>0</v>
      </c>
      <c r="R31" s="75">
        <v>0</v>
      </c>
    </row>
    <row r="32" spans="1:18" ht="15.75">
      <c r="A32" s="103">
        <v>18</v>
      </c>
      <c r="B32" s="104" t="s">
        <v>227</v>
      </c>
      <c r="C32" s="198"/>
      <c r="D32" s="74"/>
      <c r="E32" s="65"/>
      <c r="F32" s="74"/>
      <c r="G32" s="74"/>
      <c r="H32" s="74"/>
      <c r="I32" s="65"/>
      <c r="J32" s="74"/>
      <c r="K32" s="75">
        <v>0</v>
      </c>
      <c r="L32" s="75">
        <v>0</v>
      </c>
      <c r="M32" s="75">
        <v>0</v>
      </c>
      <c r="N32" s="75">
        <v>0</v>
      </c>
      <c r="O32" s="75">
        <v>0</v>
      </c>
      <c r="P32" s="75">
        <v>0</v>
      </c>
      <c r="Q32" s="75">
        <v>0</v>
      </c>
      <c r="R32" s="75">
        <v>0</v>
      </c>
    </row>
    <row r="33" spans="1:18" ht="38.25">
      <c r="A33" s="103">
        <v>19</v>
      </c>
      <c r="B33" s="105" t="s">
        <v>189</v>
      </c>
      <c r="C33" s="198"/>
      <c r="D33" s="74"/>
      <c r="E33" s="65"/>
      <c r="F33" s="74"/>
      <c r="G33" s="74"/>
      <c r="H33" s="74"/>
      <c r="I33" s="65"/>
      <c r="J33" s="74"/>
      <c r="K33" s="75">
        <v>0</v>
      </c>
      <c r="L33" s="75">
        <v>0</v>
      </c>
      <c r="M33" s="75">
        <v>0</v>
      </c>
      <c r="N33" s="75">
        <v>0</v>
      </c>
      <c r="O33" s="75">
        <v>0</v>
      </c>
      <c r="P33" s="75">
        <v>0</v>
      </c>
      <c r="Q33" s="75">
        <v>0</v>
      </c>
      <c r="R33" s="75">
        <v>0</v>
      </c>
    </row>
    <row r="34" spans="1:18" ht="25.5">
      <c r="A34" s="103">
        <v>20</v>
      </c>
      <c r="B34" s="105" t="s">
        <v>190</v>
      </c>
      <c r="C34" s="198">
        <f>SUM(D34:I34)</f>
        <v>12</v>
      </c>
      <c r="D34" s="74">
        <v>1</v>
      </c>
      <c r="E34" s="257">
        <v>0</v>
      </c>
      <c r="F34" s="257">
        <v>0</v>
      </c>
      <c r="G34" s="74">
        <v>3</v>
      </c>
      <c r="H34" s="257">
        <v>0</v>
      </c>
      <c r="I34" s="65">
        <v>8</v>
      </c>
      <c r="J34" s="257">
        <v>0</v>
      </c>
      <c r="K34" s="75">
        <v>0</v>
      </c>
      <c r="L34" s="75">
        <v>0</v>
      </c>
      <c r="M34" s="75">
        <v>0</v>
      </c>
      <c r="N34" s="75">
        <v>0</v>
      </c>
      <c r="O34" s="75">
        <v>0</v>
      </c>
      <c r="P34" s="75">
        <v>0</v>
      </c>
      <c r="Q34" s="75">
        <v>0</v>
      </c>
      <c r="R34" s="75">
        <v>0</v>
      </c>
    </row>
    <row r="35" spans="1:18" ht="25.5">
      <c r="A35" s="103">
        <v>21</v>
      </c>
      <c r="B35" s="105" t="s">
        <v>256</v>
      </c>
      <c r="C35" s="198"/>
      <c r="D35" s="74"/>
      <c r="E35" s="65"/>
      <c r="F35" s="74"/>
      <c r="G35" s="74"/>
      <c r="H35" s="74"/>
      <c r="I35" s="65"/>
      <c r="J35" s="74"/>
      <c r="K35" s="75">
        <v>0</v>
      </c>
      <c r="L35" s="75">
        <v>0</v>
      </c>
      <c r="M35" s="75">
        <v>0</v>
      </c>
      <c r="N35" s="75">
        <v>0</v>
      </c>
      <c r="O35" s="75">
        <v>0</v>
      </c>
      <c r="P35" s="75">
        <v>0</v>
      </c>
      <c r="Q35" s="75">
        <v>0</v>
      </c>
      <c r="R35" s="75">
        <v>0</v>
      </c>
    </row>
    <row r="36" spans="1:18" s="22" customFormat="1" ht="30" customHeight="1">
      <c r="A36" s="276" t="s">
        <v>98</v>
      </c>
      <c r="B36" s="277"/>
      <c r="C36" s="197">
        <f aca="true" t="shared" si="3" ref="C36:R36">SUM(C37:C99)</f>
        <v>0</v>
      </c>
      <c r="D36" s="197">
        <f t="shared" si="3"/>
        <v>0</v>
      </c>
      <c r="E36" s="197">
        <f t="shared" si="3"/>
        <v>0</v>
      </c>
      <c r="F36" s="197">
        <f t="shared" si="3"/>
        <v>0</v>
      </c>
      <c r="G36" s="197">
        <f t="shared" si="3"/>
        <v>0</v>
      </c>
      <c r="H36" s="197">
        <f t="shared" si="3"/>
        <v>0</v>
      </c>
      <c r="I36" s="197">
        <f t="shared" si="3"/>
        <v>0</v>
      </c>
      <c r="J36" s="197">
        <f t="shared" si="3"/>
        <v>0</v>
      </c>
      <c r="K36" s="197">
        <f t="shared" si="3"/>
        <v>54997</v>
      </c>
      <c r="L36" s="197">
        <f t="shared" si="3"/>
        <v>45542</v>
      </c>
      <c r="M36" s="197">
        <f t="shared" si="3"/>
        <v>6283</v>
      </c>
      <c r="N36" s="197">
        <f t="shared" si="3"/>
        <v>3172</v>
      </c>
      <c r="O36" s="197">
        <f t="shared" si="3"/>
        <v>136</v>
      </c>
      <c r="P36" s="197">
        <f t="shared" si="3"/>
        <v>7610</v>
      </c>
      <c r="Q36" s="197">
        <f t="shared" si="3"/>
        <v>3216</v>
      </c>
      <c r="R36" s="197">
        <f t="shared" si="3"/>
        <v>4402</v>
      </c>
    </row>
    <row r="37" spans="1:18" s="22" customFormat="1" ht="15.75">
      <c r="A37" s="79">
        <v>1</v>
      </c>
      <c r="B37" s="80" t="s">
        <v>167</v>
      </c>
      <c r="C37" s="133">
        <v>0</v>
      </c>
      <c r="D37" s="133">
        <v>0</v>
      </c>
      <c r="E37" s="133">
        <v>0</v>
      </c>
      <c r="F37" s="133">
        <v>0</v>
      </c>
      <c r="G37" s="133">
        <v>0</v>
      </c>
      <c r="H37" s="133">
        <v>0</v>
      </c>
      <c r="I37" s="133">
        <v>0</v>
      </c>
      <c r="J37" s="133">
        <v>0</v>
      </c>
      <c r="K37" s="122">
        <f>L37+M37+N37</f>
        <v>1568</v>
      </c>
      <c r="L37" s="162">
        <v>1357</v>
      </c>
      <c r="M37" s="122">
        <v>128</v>
      </c>
      <c r="N37" s="122">
        <v>83</v>
      </c>
      <c r="O37" s="122">
        <v>8</v>
      </c>
      <c r="P37" s="122">
        <f>Q37+R37</f>
        <v>174</v>
      </c>
      <c r="Q37" s="122">
        <v>71</v>
      </c>
      <c r="R37" s="122">
        <v>103</v>
      </c>
    </row>
    <row r="38" spans="1:18" s="22" customFormat="1" ht="30.75" customHeight="1">
      <c r="A38" s="79">
        <v>2</v>
      </c>
      <c r="B38" s="80" t="s">
        <v>251</v>
      </c>
      <c r="C38" s="133">
        <v>0</v>
      </c>
      <c r="D38" s="133">
        <v>0</v>
      </c>
      <c r="E38" s="133">
        <v>0</v>
      </c>
      <c r="F38" s="133">
        <v>0</v>
      </c>
      <c r="G38" s="133">
        <v>0</v>
      </c>
      <c r="H38" s="133">
        <v>0</v>
      </c>
      <c r="I38" s="133">
        <v>0</v>
      </c>
      <c r="J38" s="133">
        <v>0</v>
      </c>
      <c r="K38" s="122">
        <f aca="true" t="shared" si="4" ref="K38:K99">L38+M38+N38</f>
        <v>430</v>
      </c>
      <c r="L38" s="122">
        <v>288</v>
      </c>
      <c r="M38" s="122">
        <v>78</v>
      </c>
      <c r="N38" s="122">
        <v>64</v>
      </c>
      <c r="O38" s="122">
        <v>5</v>
      </c>
      <c r="P38" s="122">
        <f aca="true" t="shared" si="5" ref="P38:P99">Q38+R38</f>
        <v>109</v>
      </c>
      <c r="Q38" s="122">
        <v>45</v>
      </c>
      <c r="R38" s="122">
        <v>64</v>
      </c>
    </row>
    <row r="39" spans="1:18" s="22" customFormat="1" ht="18" customHeight="1">
      <c r="A39" s="79">
        <v>3</v>
      </c>
      <c r="B39" s="80" t="s">
        <v>168</v>
      </c>
      <c r="C39" s="133">
        <v>0</v>
      </c>
      <c r="D39" s="133">
        <v>0</v>
      </c>
      <c r="E39" s="133">
        <v>0</v>
      </c>
      <c r="F39" s="133">
        <v>0</v>
      </c>
      <c r="G39" s="133">
        <v>0</v>
      </c>
      <c r="H39" s="133">
        <v>0</v>
      </c>
      <c r="I39" s="133">
        <v>0</v>
      </c>
      <c r="J39" s="133">
        <v>0</v>
      </c>
      <c r="K39" s="122">
        <f t="shared" si="4"/>
        <v>330</v>
      </c>
      <c r="L39" s="122">
        <v>226</v>
      </c>
      <c r="M39" s="122">
        <v>46</v>
      </c>
      <c r="N39" s="122">
        <v>58</v>
      </c>
      <c r="O39" s="122">
        <v>4</v>
      </c>
      <c r="P39" s="122">
        <f t="shared" si="5"/>
        <v>85</v>
      </c>
      <c r="Q39" s="122">
        <v>31</v>
      </c>
      <c r="R39" s="122">
        <v>54</v>
      </c>
    </row>
    <row r="40" spans="1:18" s="22" customFormat="1" ht="18" customHeight="1">
      <c r="A40" s="79">
        <v>4</v>
      </c>
      <c r="B40" s="80" t="s">
        <v>169</v>
      </c>
      <c r="C40" s="133">
        <v>0</v>
      </c>
      <c r="D40" s="133">
        <v>0</v>
      </c>
      <c r="E40" s="133">
        <v>0</v>
      </c>
      <c r="F40" s="133">
        <v>0</v>
      </c>
      <c r="G40" s="133">
        <v>0</v>
      </c>
      <c r="H40" s="133">
        <v>0</v>
      </c>
      <c r="I40" s="133">
        <v>0</v>
      </c>
      <c r="J40" s="133">
        <v>0</v>
      </c>
      <c r="K40" s="122">
        <f t="shared" si="4"/>
        <v>757</v>
      </c>
      <c r="L40" s="162">
        <v>648</v>
      </c>
      <c r="M40" s="122">
        <v>66</v>
      </c>
      <c r="N40" s="122">
        <v>43</v>
      </c>
      <c r="O40" s="122">
        <v>4</v>
      </c>
      <c r="P40" s="122">
        <f t="shared" si="5"/>
        <v>84</v>
      </c>
      <c r="Q40" s="122">
        <v>20</v>
      </c>
      <c r="R40" s="122">
        <v>64</v>
      </c>
    </row>
    <row r="41" spans="1:18" s="22" customFormat="1" ht="18" customHeight="1">
      <c r="A41" s="79">
        <v>5</v>
      </c>
      <c r="B41" s="80" t="s">
        <v>170</v>
      </c>
      <c r="C41" s="133">
        <v>0</v>
      </c>
      <c r="D41" s="133">
        <v>0</v>
      </c>
      <c r="E41" s="133">
        <v>0</v>
      </c>
      <c r="F41" s="133">
        <v>0</v>
      </c>
      <c r="G41" s="133">
        <v>0</v>
      </c>
      <c r="H41" s="133">
        <v>0</v>
      </c>
      <c r="I41" s="133">
        <v>0</v>
      </c>
      <c r="J41" s="133">
        <v>0</v>
      </c>
      <c r="K41" s="122">
        <f t="shared" si="4"/>
        <v>198</v>
      </c>
      <c r="L41" s="122">
        <v>114</v>
      </c>
      <c r="M41" s="122">
        <v>35</v>
      </c>
      <c r="N41" s="122">
        <v>49</v>
      </c>
      <c r="O41" s="257">
        <v>0</v>
      </c>
      <c r="P41" s="122">
        <f t="shared" si="5"/>
        <v>80</v>
      </c>
      <c r="Q41" s="122">
        <v>18</v>
      </c>
      <c r="R41" s="122">
        <v>62</v>
      </c>
    </row>
    <row r="42" spans="1:18" s="22" customFormat="1" ht="18" customHeight="1">
      <c r="A42" s="79">
        <v>6</v>
      </c>
      <c r="B42" s="80" t="s">
        <v>171</v>
      </c>
      <c r="C42" s="133">
        <v>0</v>
      </c>
      <c r="D42" s="133">
        <v>0</v>
      </c>
      <c r="E42" s="133">
        <v>0</v>
      </c>
      <c r="F42" s="133">
        <v>0</v>
      </c>
      <c r="G42" s="133">
        <v>0</v>
      </c>
      <c r="H42" s="133">
        <v>0</v>
      </c>
      <c r="I42" s="133">
        <v>0</v>
      </c>
      <c r="J42" s="133">
        <v>0</v>
      </c>
      <c r="K42" s="122">
        <f t="shared" si="4"/>
        <v>317</v>
      </c>
      <c r="L42" s="122">
        <v>262</v>
      </c>
      <c r="M42" s="122">
        <v>20</v>
      </c>
      <c r="N42" s="122">
        <v>35</v>
      </c>
      <c r="O42" s="257">
        <v>0</v>
      </c>
      <c r="P42" s="122">
        <f t="shared" si="5"/>
        <v>66</v>
      </c>
      <c r="Q42" s="122">
        <v>17</v>
      </c>
      <c r="R42" s="122">
        <v>49</v>
      </c>
    </row>
    <row r="43" spans="1:18" s="22" customFormat="1" ht="18" customHeight="1">
      <c r="A43" s="79">
        <v>7</v>
      </c>
      <c r="B43" s="80" t="s">
        <v>172</v>
      </c>
      <c r="C43" s="133">
        <v>0</v>
      </c>
      <c r="D43" s="133">
        <v>0</v>
      </c>
      <c r="E43" s="133">
        <v>0</v>
      </c>
      <c r="F43" s="133">
        <v>0</v>
      </c>
      <c r="G43" s="133">
        <v>0</v>
      </c>
      <c r="H43" s="133">
        <v>0</v>
      </c>
      <c r="I43" s="133">
        <v>0</v>
      </c>
      <c r="J43" s="133">
        <v>0</v>
      </c>
      <c r="K43" s="122">
        <f t="shared" si="4"/>
        <v>825</v>
      </c>
      <c r="L43" s="122">
        <v>695</v>
      </c>
      <c r="M43" s="122">
        <v>55</v>
      </c>
      <c r="N43" s="122">
        <v>75</v>
      </c>
      <c r="O43" s="122">
        <v>3</v>
      </c>
      <c r="P43" s="122">
        <f t="shared" si="5"/>
        <v>137</v>
      </c>
      <c r="Q43" s="122">
        <v>4</v>
      </c>
      <c r="R43" s="122">
        <v>133</v>
      </c>
    </row>
    <row r="44" spans="1:18" s="22" customFormat="1" ht="18" customHeight="1">
      <c r="A44" s="79">
        <v>8</v>
      </c>
      <c r="B44" s="80" t="s">
        <v>173</v>
      </c>
      <c r="C44" s="133">
        <v>0</v>
      </c>
      <c r="D44" s="133">
        <v>0</v>
      </c>
      <c r="E44" s="133">
        <v>0</v>
      </c>
      <c r="F44" s="133">
        <v>0</v>
      </c>
      <c r="G44" s="133">
        <v>0</v>
      </c>
      <c r="H44" s="133">
        <v>0</v>
      </c>
      <c r="I44" s="133">
        <v>0</v>
      </c>
      <c r="J44" s="133">
        <v>0</v>
      </c>
      <c r="K44" s="122">
        <f t="shared" si="4"/>
        <v>1330</v>
      </c>
      <c r="L44" s="122">
        <v>1153</v>
      </c>
      <c r="M44" s="122">
        <v>125</v>
      </c>
      <c r="N44" s="122">
        <v>52</v>
      </c>
      <c r="O44" s="122">
        <v>1</v>
      </c>
      <c r="P44" s="122">
        <f t="shared" si="5"/>
        <v>50</v>
      </c>
      <c r="Q44" s="122">
        <v>15</v>
      </c>
      <c r="R44" s="122">
        <v>35</v>
      </c>
    </row>
    <row r="45" spans="1:18" s="22" customFormat="1" ht="18" customHeight="1">
      <c r="A45" s="79">
        <v>9</v>
      </c>
      <c r="B45" s="80" t="s">
        <v>174</v>
      </c>
      <c r="C45" s="133">
        <v>0</v>
      </c>
      <c r="D45" s="133">
        <v>0</v>
      </c>
      <c r="E45" s="133">
        <v>0</v>
      </c>
      <c r="F45" s="133">
        <v>0</v>
      </c>
      <c r="G45" s="133">
        <v>0</v>
      </c>
      <c r="H45" s="133">
        <v>0</v>
      </c>
      <c r="I45" s="133">
        <v>0</v>
      </c>
      <c r="J45" s="133">
        <v>0</v>
      </c>
      <c r="K45" s="122">
        <f t="shared" si="4"/>
        <v>595</v>
      </c>
      <c r="L45" s="122">
        <v>383</v>
      </c>
      <c r="M45" s="122">
        <v>142</v>
      </c>
      <c r="N45" s="122">
        <v>70</v>
      </c>
      <c r="O45" s="122">
        <v>2</v>
      </c>
      <c r="P45" s="122">
        <f t="shared" si="5"/>
        <v>192</v>
      </c>
      <c r="Q45" s="122">
        <v>115</v>
      </c>
      <c r="R45" s="122">
        <v>77</v>
      </c>
    </row>
    <row r="46" spans="1:18" s="22" customFormat="1" ht="18" customHeight="1">
      <c r="A46" s="79">
        <v>10</v>
      </c>
      <c r="B46" s="80" t="s">
        <v>175</v>
      </c>
      <c r="C46" s="133">
        <v>0</v>
      </c>
      <c r="D46" s="133">
        <v>0</v>
      </c>
      <c r="E46" s="133">
        <v>0</v>
      </c>
      <c r="F46" s="133">
        <v>0</v>
      </c>
      <c r="G46" s="133">
        <v>0</v>
      </c>
      <c r="H46" s="133">
        <v>0</v>
      </c>
      <c r="I46" s="133">
        <v>0</v>
      </c>
      <c r="J46" s="133">
        <v>0</v>
      </c>
      <c r="K46" s="122">
        <f t="shared" si="4"/>
        <v>226</v>
      </c>
      <c r="L46" s="122">
        <v>152</v>
      </c>
      <c r="M46" s="122">
        <v>67</v>
      </c>
      <c r="N46" s="122">
        <v>7</v>
      </c>
      <c r="O46" s="257">
        <v>0</v>
      </c>
      <c r="P46" s="122">
        <f t="shared" si="5"/>
        <v>140</v>
      </c>
      <c r="Q46" s="122">
        <v>60</v>
      </c>
      <c r="R46" s="122">
        <v>80</v>
      </c>
    </row>
    <row r="47" spans="1:18" s="22" customFormat="1" ht="18" customHeight="1">
      <c r="A47" s="79">
        <v>11</v>
      </c>
      <c r="B47" s="80" t="s">
        <v>176</v>
      </c>
      <c r="C47" s="133">
        <v>0</v>
      </c>
      <c r="D47" s="133">
        <v>0</v>
      </c>
      <c r="E47" s="133">
        <v>0</v>
      </c>
      <c r="F47" s="133">
        <v>0</v>
      </c>
      <c r="G47" s="133">
        <v>0</v>
      </c>
      <c r="H47" s="133">
        <v>0</v>
      </c>
      <c r="I47" s="133">
        <v>0</v>
      </c>
      <c r="J47" s="133">
        <v>0</v>
      </c>
      <c r="K47" s="122">
        <f t="shared" si="4"/>
        <v>937</v>
      </c>
      <c r="L47" s="122">
        <v>726</v>
      </c>
      <c r="M47" s="122">
        <v>135</v>
      </c>
      <c r="N47" s="122">
        <v>76</v>
      </c>
      <c r="O47" s="122">
        <v>6</v>
      </c>
      <c r="P47" s="122">
        <f t="shared" si="5"/>
        <v>127</v>
      </c>
      <c r="Q47" s="122">
        <v>47</v>
      </c>
      <c r="R47" s="122">
        <v>80</v>
      </c>
    </row>
    <row r="48" spans="1:18" s="22" customFormat="1" ht="18" customHeight="1">
      <c r="A48" s="79">
        <v>12</v>
      </c>
      <c r="B48" s="80" t="s">
        <v>177</v>
      </c>
      <c r="C48" s="133">
        <v>0</v>
      </c>
      <c r="D48" s="133">
        <v>0</v>
      </c>
      <c r="E48" s="133">
        <v>0</v>
      </c>
      <c r="F48" s="133">
        <v>0</v>
      </c>
      <c r="G48" s="133">
        <v>0</v>
      </c>
      <c r="H48" s="133">
        <v>0</v>
      </c>
      <c r="I48" s="133">
        <v>0</v>
      </c>
      <c r="J48" s="133">
        <v>0</v>
      </c>
      <c r="K48" s="122">
        <f t="shared" si="4"/>
        <v>149</v>
      </c>
      <c r="L48" s="122">
        <v>104</v>
      </c>
      <c r="M48" s="122">
        <v>24</v>
      </c>
      <c r="N48" s="122">
        <v>21</v>
      </c>
      <c r="O48" s="257">
        <v>0</v>
      </c>
      <c r="P48" s="122">
        <f t="shared" si="5"/>
        <v>42</v>
      </c>
      <c r="Q48" s="122">
        <v>12</v>
      </c>
      <c r="R48" s="122">
        <v>30</v>
      </c>
    </row>
    <row r="49" spans="1:18" s="22" customFormat="1" ht="18" customHeight="1">
      <c r="A49" s="79">
        <v>13</v>
      </c>
      <c r="B49" s="80" t="s">
        <v>178</v>
      </c>
      <c r="C49" s="133">
        <v>0</v>
      </c>
      <c r="D49" s="133">
        <v>0</v>
      </c>
      <c r="E49" s="133">
        <v>0</v>
      </c>
      <c r="F49" s="133">
        <v>0</v>
      </c>
      <c r="G49" s="133">
        <v>0</v>
      </c>
      <c r="H49" s="133">
        <v>0</v>
      </c>
      <c r="I49" s="133">
        <v>0</v>
      </c>
      <c r="J49" s="133">
        <v>0</v>
      </c>
      <c r="K49" s="122">
        <f t="shared" si="4"/>
        <v>190</v>
      </c>
      <c r="L49" s="122">
        <v>122</v>
      </c>
      <c r="M49" s="122">
        <v>29</v>
      </c>
      <c r="N49" s="122">
        <v>39</v>
      </c>
      <c r="O49" s="122">
        <v>1</v>
      </c>
      <c r="P49" s="122">
        <f t="shared" si="5"/>
        <v>87</v>
      </c>
      <c r="Q49" s="122">
        <v>35</v>
      </c>
      <c r="R49" s="122">
        <v>52</v>
      </c>
    </row>
    <row r="50" spans="1:18" s="22" customFormat="1" ht="18" customHeight="1">
      <c r="A50" s="79">
        <v>14</v>
      </c>
      <c r="B50" s="80" t="s">
        <v>179</v>
      </c>
      <c r="C50" s="133">
        <v>0</v>
      </c>
      <c r="D50" s="133">
        <v>0</v>
      </c>
      <c r="E50" s="133">
        <v>0</v>
      </c>
      <c r="F50" s="133">
        <v>0</v>
      </c>
      <c r="G50" s="133">
        <v>0</v>
      </c>
      <c r="H50" s="133">
        <v>0</v>
      </c>
      <c r="I50" s="133">
        <v>0</v>
      </c>
      <c r="J50" s="133">
        <v>0</v>
      </c>
      <c r="K50" s="122">
        <f t="shared" si="4"/>
        <v>51</v>
      </c>
      <c r="L50" s="173">
        <v>12</v>
      </c>
      <c r="M50" s="173">
        <v>17</v>
      </c>
      <c r="N50" s="173">
        <v>22</v>
      </c>
      <c r="O50" s="173">
        <v>3</v>
      </c>
      <c r="P50" s="122">
        <f>R50</f>
        <v>33</v>
      </c>
      <c r="Q50" s="122">
        <v>8</v>
      </c>
      <c r="R50" s="122">
        <v>33</v>
      </c>
    </row>
    <row r="51" spans="1:18" s="22" customFormat="1" ht="18" customHeight="1">
      <c r="A51" s="79">
        <v>15</v>
      </c>
      <c r="B51" s="80" t="s">
        <v>180</v>
      </c>
      <c r="C51" s="133">
        <v>0</v>
      </c>
      <c r="D51" s="133">
        <v>0</v>
      </c>
      <c r="E51" s="133">
        <v>0</v>
      </c>
      <c r="F51" s="133">
        <v>0</v>
      </c>
      <c r="G51" s="133">
        <v>0</v>
      </c>
      <c r="H51" s="133">
        <v>0</v>
      </c>
      <c r="I51" s="133">
        <v>0</v>
      </c>
      <c r="J51" s="133">
        <v>0</v>
      </c>
      <c r="K51" s="122">
        <f t="shared" si="4"/>
        <v>109</v>
      </c>
      <c r="L51" s="122">
        <v>37</v>
      </c>
      <c r="M51" s="122">
        <v>7</v>
      </c>
      <c r="N51" s="122">
        <v>65</v>
      </c>
      <c r="O51" s="122">
        <v>3</v>
      </c>
      <c r="P51" s="122">
        <f t="shared" si="5"/>
        <v>103</v>
      </c>
      <c r="Q51" s="122">
        <v>9</v>
      </c>
      <c r="R51" s="122">
        <v>94</v>
      </c>
    </row>
    <row r="52" spans="1:18" s="22" customFormat="1" ht="18" customHeight="1">
      <c r="A52" s="79">
        <v>16</v>
      </c>
      <c r="B52" s="80" t="s">
        <v>181</v>
      </c>
      <c r="C52" s="133">
        <v>0</v>
      </c>
      <c r="D52" s="133">
        <v>0</v>
      </c>
      <c r="E52" s="133">
        <v>0</v>
      </c>
      <c r="F52" s="133">
        <v>0</v>
      </c>
      <c r="G52" s="133">
        <v>0</v>
      </c>
      <c r="H52" s="133">
        <v>0</v>
      </c>
      <c r="I52" s="133">
        <v>0</v>
      </c>
      <c r="J52" s="133">
        <v>0</v>
      </c>
      <c r="K52" s="122">
        <f t="shared" si="4"/>
        <v>346</v>
      </c>
      <c r="L52" s="122">
        <v>237</v>
      </c>
      <c r="M52" s="122">
        <v>45</v>
      </c>
      <c r="N52" s="122">
        <v>64</v>
      </c>
      <c r="O52" s="122">
        <v>4</v>
      </c>
      <c r="P52" s="122">
        <f t="shared" si="5"/>
        <v>108</v>
      </c>
      <c r="Q52" s="122">
        <v>34</v>
      </c>
      <c r="R52" s="122">
        <v>74</v>
      </c>
    </row>
    <row r="53" spans="1:18" s="22" customFormat="1" ht="18" customHeight="1">
      <c r="A53" s="79">
        <v>17</v>
      </c>
      <c r="B53" s="80" t="s">
        <v>182</v>
      </c>
      <c r="C53" s="133">
        <v>0</v>
      </c>
      <c r="D53" s="133">
        <v>0</v>
      </c>
      <c r="E53" s="133">
        <v>0</v>
      </c>
      <c r="F53" s="133">
        <v>0</v>
      </c>
      <c r="G53" s="133">
        <v>0</v>
      </c>
      <c r="H53" s="133">
        <v>0</v>
      </c>
      <c r="I53" s="133">
        <v>0</v>
      </c>
      <c r="J53" s="133">
        <v>0</v>
      </c>
      <c r="K53" s="122">
        <f t="shared" si="4"/>
        <v>273</v>
      </c>
      <c r="L53" s="122">
        <v>179</v>
      </c>
      <c r="M53" s="122">
        <v>51</v>
      </c>
      <c r="N53" s="122">
        <v>43</v>
      </c>
      <c r="O53" s="122">
        <v>2</v>
      </c>
      <c r="P53" s="122">
        <f t="shared" si="5"/>
        <v>85</v>
      </c>
      <c r="Q53" s="122">
        <v>24</v>
      </c>
      <c r="R53" s="122">
        <v>61</v>
      </c>
    </row>
    <row r="54" spans="1:18" s="22" customFormat="1" ht="18" customHeight="1">
      <c r="A54" s="79">
        <v>18</v>
      </c>
      <c r="B54" s="80" t="s">
        <v>183</v>
      </c>
      <c r="C54" s="133">
        <v>0</v>
      </c>
      <c r="D54" s="133">
        <v>0</v>
      </c>
      <c r="E54" s="133">
        <v>0</v>
      </c>
      <c r="F54" s="133">
        <v>0</v>
      </c>
      <c r="G54" s="133">
        <v>0</v>
      </c>
      <c r="H54" s="133">
        <v>0</v>
      </c>
      <c r="I54" s="133">
        <v>0</v>
      </c>
      <c r="J54" s="133">
        <v>0</v>
      </c>
      <c r="K54" s="122">
        <f t="shared" si="4"/>
        <v>460</v>
      </c>
      <c r="L54" s="122">
        <v>359</v>
      </c>
      <c r="M54" s="122">
        <v>57</v>
      </c>
      <c r="N54" s="122">
        <v>44</v>
      </c>
      <c r="O54" s="122">
        <v>8</v>
      </c>
      <c r="P54" s="122">
        <f t="shared" si="5"/>
        <v>75</v>
      </c>
      <c r="Q54" s="122">
        <v>11</v>
      </c>
      <c r="R54" s="122">
        <v>64</v>
      </c>
    </row>
    <row r="55" spans="1:18" s="22" customFormat="1" ht="18" customHeight="1">
      <c r="A55" s="79">
        <v>19</v>
      </c>
      <c r="B55" s="81" t="s">
        <v>201</v>
      </c>
      <c r="C55" s="133">
        <v>0</v>
      </c>
      <c r="D55" s="133">
        <v>0</v>
      </c>
      <c r="E55" s="133">
        <v>0</v>
      </c>
      <c r="F55" s="133">
        <v>0</v>
      </c>
      <c r="G55" s="133">
        <v>0</v>
      </c>
      <c r="H55" s="133">
        <v>0</v>
      </c>
      <c r="I55" s="133">
        <v>0</v>
      </c>
      <c r="J55" s="133">
        <v>0</v>
      </c>
      <c r="K55" s="122">
        <f t="shared" si="4"/>
        <v>1434</v>
      </c>
      <c r="L55" s="123">
        <v>1145</v>
      </c>
      <c r="M55" s="123">
        <v>174</v>
      </c>
      <c r="N55" s="123">
        <v>115</v>
      </c>
      <c r="O55" s="123">
        <v>3</v>
      </c>
      <c r="P55" s="122">
        <f t="shared" si="5"/>
        <v>151</v>
      </c>
      <c r="Q55" s="123">
        <v>58</v>
      </c>
      <c r="R55" s="123">
        <v>93</v>
      </c>
    </row>
    <row r="56" spans="1:18" s="22" customFormat="1" ht="18" customHeight="1">
      <c r="A56" s="79">
        <v>20</v>
      </c>
      <c r="B56" s="81" t="s">
        <v>202</v>
      </c>
      <c r="C56" s="133">
        <v>0</v>
      </c>
      <c r="D56" s="133">
        <v>0</v>
      </c>
      <c r="E56" s="133">
        <v>0</v>
      </c>
      <c r="F56" s="133">
        <v>0</v>
      </c>
      <c r="G56" s="133">
        <v>0</v>
      </c>
      <c r="H56" s="133">
        <v>0</v>
      </c>
      <c r="I56" s="133">
        <v>0</v>
      </c>
      <c r="J56" s="133">
        <v>0</v>
      </c>
      <c r="K56" s="122">
        <f t="shared" si="4"/>
        <v>765</v>
      </c>
      <c r="L56" s="123">
        <v>597</v>
      </c>
      <c r="M56" s="123">
        <v>132</v>
      </c>
      <c r="N56" s="123">
        <v>36</v>
      </c>
      <c r="O56" s="257">
        <v>0</v>
      </c>
      <c r="P56" s="122">
        <f t="shared" si="5"/>
        <v>134</v>
      </c>
      <c r="Q56" s="123">
        <v>42</v>
      </c>
      <c r="R56" s="123">
        <v>92</v>
      </c>
    </row>
    <row r="57" spans="1:18" s="22" customFormat="1" ht="18" customHeight="1">
      <c r="A57" s="79">
        <v>21</v>
      </c>
      <c r="B57" s="81" t="s">
        <v>203</v>
      </c>
      <c r="C57" s="133">
        <v>0</v>
      </c>
      <c r="D57" s="133">
        <v>0</v>
      </c>
      <c r="E57" s="133">
        <v>0</v>
      </c>
      <c r="F57" s="133">
        <v>0</v>
      </c>
      <c r="G57" s="133">
        <v>0</v>
      </c>
      <c r="H57" s="133">
        <v>0</v>
      </c>
      <c r="I57" s="133">
        <v>0</v>
      </c>
      <c r="J57" s="133">
        <v>0</v>
      </c>
      <c r="K57" s="122">
        <f t="shared" si="4"/>
        <v>404</v>
      </c>
      <c r="L57" s="123"/>
      <c r="M57" s="123">
        <v>343</v>
      </c>
      <c r="N57" s="123">
        <v>61</v>
      </c>
      <c r="O57" s="123">
        <v>2</v>
      </c>
      <c r="P57" s="122">
        <f t="shared" si="5"/>
        <v>127</v>
      </c>
      <c r="Q57" s="123">
        <v>53</v>
      </c>
      <c r="R57" s="123">
        <v>74</v>
      </c>
    </row>
    <row r="58" spans="1:18" s="22" customFormat="1" ht="18" customHeight="1">
      <c r="A58" s="79">
        <v>22</v>
      </c>
      <c r="B58" s="81" t="s">
        <v>204</v>
      </c>
      <c r="C58" s="133">
        <v>0</v>
      </c>
      <c r="D58" s="133">
        <v>0</v>
      </c>
      <c r="E58" s="133">
        <v>0</v>
      </c>
      <c r="F58" s="133">
        <v>0</v>
      </c>
      <c r="G58" s="133">
        <v>0</v>
      </c>
      <c r="H58" s="133">
        <v>0</v>
      </c>
      <c r="I58" s="133">
        <v>0</v>
      </c>
      <c r="J58" s="133">
        <v>0</v>
      </c>
      <c r="K58" s="122">
        <f t="shared" si="4"/>
        <v>15</v>
      </c>
      <c r="L58" s="123"/>
      <c r="M58" s="123">
        <v>15</v>
      </c>
      <c r="N58" s="257">
        <v>0</v>
      </c>
      <c r="O58" s="123"/>
      <c r="P58" s="122">
        <f t="shared" si="5"/>
        <v>54</v>
      </c>
      <c r="Q58" s="123">
        <v>4</v>
      </c>
      <c r="R58" s="123">
        <v>50</v>
      </c>
    </row>
    <row r="59" spans="1:18" s="22" customFormat="1" ht="18" customHeight="1">
      <c r="A59" s="79">
        <v>23</v>
      </c>
      <c r="B59" s="81" t="s">
        <v>205</v>
      </c>
      <c r="C59" s="133">
        <v>0</v>
      </c>
      <c r="D59" s="133">
        <v>0</v>
      </c>
      <c r="E59" s="133">
        <v>0</v>
      </c>
      <c r="F59" s="133">
        <v>0</v>
      </c>
      <c r="G59" s="133">
        <v>0</v>
      </c>
      <c r="H59" s="133">
        <v>0</v>
      </c>
      <c r="I59" s="133">
        <v>0</v>
      </c>
      <c r="J59" s="133">
        <v>0</v>
      </c>
      <c r="K59" s="122">
        <f t="shared" si="4"/>
        <v>790</v>
      </c>
      <c r="L59" s="123">
        <v>643</v>
      </c>
      <c r="M59" s="123">
        <v>69</v>
      </c>
      <c r="N59" s="123">
        <v>78</v>
      </c>
      <c r="O59" s="123">
        <v>2</v>
      </c>
      <c r="P59" s="122">
        <f t="shared" si="5"/>
        <v>120</v>
      </c>
      <c r="Q59" s="123">
        <v>38</v>
      </c>
      <c r="R59" s="123">
        <v>82</v>
      </c>
    </row>
    <row r="60" spans="1:18" s="22" customFormat="1" ht="18" customHeight="1">
      <c r="A60" s="79">
        <v>24</v>
      </c>
      <c r="B60" s="81" t="s">
        <v>206</v>
      </c>
      <c r="C60" s="133">
        <v>0</v>
      </c>
      <c r="D60" s="133">
        <v>0</v>
      </c>
      <c r="E60" s="133">
        <v>0</v>
      </c>
      <c r="F60" s="133">
        <v>0</v>
      </c>
      <c r="G60" s="133">
        <v>0</v>
      </c>
      <c r="H60" s="133">
        <v>0</v>
      </c>
      <c r="I60" s="133">
        <v>0</v>
      </c>
      <c r="J60" s="133">
        <v>0</v>
      </c>
      <c r="K60" s="122">
        <f t="shared" si="4"/>
        <v>520</v>
      </c>
      <c r="L60" s="123">
        <v>455</v>
      </c>
      <c r="M60" s="123">
        <v>53</v>
      </c>
      <c r="N60" s="123">
        <v>12</v>
      </c>
      <c r="O60" s="257">
        <v>0</v>
      </c>
      <c r="P60" s="122">
        <f>Q60+R60</f>
        <v>72</v>
      </c>
      <c r="Q60" s="123">
        <v>7</v>
      </c>
      <c r="R60" s="123">
        <v>65</v>
      </c>
    </row>
    <row r="61" spans="1:18" s="22" customFormat="1" ht="18" customHeight="1">
      <c r="A61" s="79">
        <v>25</v>
      </c>
      <c r="B61" s="81" t="s">
        <v>207</v>
      </c>
      <c r="C61" s="133">
        <v>0</v>
      </c>
      <c r="D61" s="133">
        <v>0</v>
      </c>
      <c r="E61" s="133">
        <v>0</v>
      </c>
      <c r="F61" s="133">
        <v>0</v>
      </c>
      <c r="G61" s="133">
        <v>0</v>
      </c>
      <c r="H61" s="133">
        <v>0</v>
      </c>
      <c r="I61" s="133">
        <v>0</v>
      </c>
      <c r="J61" s="133">
        <v>0</v>
      </c>
      <c r="K61" s="122">
        <f t="shared" si="4"/>
        <v>834</v>
      </c>
      <c r="L61" s="123">
        <v>701</v>
      </c>
      <c r="M61" s="123">
        <v>74</v>
      </c>
      <c r="N61" s="123">
        <v>59</v>
      </c>
      <c r="O61" s="123">
        <v>3</v>
      </c>
      <c r="P61" s="122">
        <f t="shared" si="5"/>
        <v>164</v>
      </c>
      <c r="Q61" s="123">
        <v>96</v>
      </c>
      <c r="R61" s="123">
        <v>68</v>
      </c>
    </row>
    <row r="62" spans="1:18" s="22" customFormat="1" ht="18" customHeight="1">
      <c r="A62" s="79">
        <v>26</v>
      </c>
      <c r="B62" s="81" t="s">
        <v>208</v>
      </c>
      <c r="C62" s="133">
        <v>0</v>
      </c>
      <c r="D62" s="133">
        <v>0</v>
      </c>
      <c r="E62" s="133">
        <v>0</v>
      </c>
      <c r="F62" s="133">
        <v>0</v>
      </c>
      <c r="G62" s="133">
        <v>0</v>
      </c>
      <c r="H62" s="133">
        <v>0</v>
      </c>
      <c r="I62" s="133">
        <v>0</v>
      </c>
      <c r="J62" s="133">
        <v>0</v>
      </c>
      <c r="K62" s="122">
        <f t="shared" si="4"/>
        <v>1655</v>
      </c>
      <c r="L62" s="123">
        <v>1509</v>
      </c>
      <c r="M62" s="123">
        <v>118</v>
      </c>
      <c r="N62" s="123">
        <v>28</v>
      </c>
      <c r="O62" s="257">
        <v>0</v>
      </c>
      <c r="P62" s="122">
        <f t="shared" si="5"/>
        <v>75</v>
      </c>
      <c r="Q62" s="123">
        <v>49</v>
      </c>
      <c r="R62" s="123">
        <v>26</v>
      </c>
    </row>
    <row r="63" spans="1:18" s="22" customFormat="1" ht="18" customHeight="1">
      <c r="A63" s="79">
        <v>27</v>
      </c>
      <c r="B63" s="81" t="s">
        <v>209</v>
      </c>
      <c r="C63" s="133">
        <v>0</v>
      </c>
      <c r="D63" s="133">
        <v>0</v>
      </c>
      <c r="E63" s="133">
        <v>0</v>
      </c>
      <c r="F63" s="133">
        <v>0</v>
      </c>
      <c r="G63" s="133">
        <v>0</v>
      </c>
      <c r="H63" s="133">
        <v>0</v>
      </c>
      <c r="I63" s="133">
        <v>0</v>
      </c>
      <c r="J63" s="133">
        <v>0</v>
      </c>
      <c r="K63" s="122">
        <f t="shared" si="4"/>
        <v>491</v>
      </c>
      <c r="L63" s="123">
        <v>394</v>
      </c>
      <c r="M63" s="123">
        <v>63</v>
      </c>
      <c r="N63" s="123">
        <v>34</v>
      </c>
      <c r="O63" s="123">
        <v>1</v>
      </c>
      <c r="P63" s="122">
        <f t="shared" si="5"/>
        <v>145</v>
      </c>
      <c r="Q63" s="123">
        <v>76</v>
      </c>
      <c r="R63" s="123">
        <v>69</v>
      </c>
    </row>
    <row r="64" spans="1:18" s="22" customFormat="1" ht="18" customHeight="1">
      <c r="A64" s="79">
        <v>28</v>
      </c>
      <c r="B64" s="81" t="s">
        <v>210</v>
      </c>
      <c r="C64" s="133">
        <v>0</v>
      </c>
      <c r="D64" s="133">
        <v>0</v>
      </c>
      <c r="E64" s="133">
        <v>0</v>
      </c>
      <c r="F64" s="133">
        <v>0</v>
      </c>
      <c r="G64" s="133">
        <v>0</v>
      </c>
      <c r="H64" s="133">
        <v>0</v>
      </c>
      <c r="I64" s="133">
        <v>0</v>
      </c>
      <c r="J64" s="133">
        <v>0</v>
      </c>
      <c r="K64" s="122">
        <f t="shared" si="4"/>
        <v>527</v>
      </c>
      <c r="L64" s="123">
        <v>412</v>
      </c>
      <c r="M64" s="123">
        <v>68</v>
      </c>
      <c r="N64" s="123">
        <v>47</v>
      </c>
      <c r="O64" s="123">
        <v>2</v>
      </c>
      <c r="P64" s="122">
        <f t="shared" si="5"/>
        <v>123</v>
      </c>
      <c r="Q64" s="123">
        <v>40</v>
      </c>
      <c r="R64" s="123">
        <v>83</v>
      </c>
    </row>
    <row r="65" spans="1:18" s="22" customFormat="1" ht="18" customHeight="1">
      <c r="A65" s="79">
        <v>29</v>
      </c>
      <c r="B65" s="81" t="s">
        <v>211</v>
      </c>
      <c r="C65" s="133">
        <v>0</v>
      </c>
      <c r="D65" s="133">
        <v>0</v>
      </c>
      <c r="E65" s="133">
        <v>0</v>
      </c>
      <c r="F65" s="133">
        <v>0</v>
      </c>
      <c r="G65" s="133">
        <v>0</v>
      </c>
      <c r="H65" s="133">
        <v>0</v>
      </c>
      <c r="I65" s="133">
        <v>0</v>
      </c>
      <c r="J65" s="133">
        <v>0</v>
      </c>
      <c r="K65" s="122">
        <f t="shared" si="4"/>
        <v>503</v>
      </c>
      <c r="L65" s="123">
        <v>406</v>
      </c>
      <c r="M65" s="123">
        <v>47</v>
      </c>
      <c r="N65" s="123">
        <v>50</v>
      </c>
      <c r="O65" s="257">
        <v>0</v>
      </c>
      <c r="P65" s="122">
        <f t="shared" si="5"/>
        <v>74</v>
      </c>
      <c r="Q65" s="123">
        <v>24</v>
      </c>
      <c r="R65" s="123">
        <v>50</v>
      </c>
    </row>
    <row r="66" spans="1:18" s="22" customFormat="1" ht="18" customHeight="1">
      <c r="A66" s="79">
        <v>30</v>
      </c>
      <c r="B66" s="81" t="s">
        <v>212</v>
      </c>
      <c r="C66" s="133">
        <v>0</v>
      </c>
      <c r="D66" s="133">
        <v>0</v>
      </c>
      <c r="E66" s="133">
        <v>0</v>
      </c>
      <c r="F66" s="133">
        <v>0</v>
      </c>
      <c r="G66" s="133">
        <v>0</v>
      </c>
      <c r="H66" s="133">
        <v>0</v>
      </c>
      <c r="I66" s="133">
        <v>0</v>
      </c>
      <c r="J66" s="133">
        <v>0</v>
      </c>
      <c r="K66" s="122">
        <f t="shared" si="4"/>
        <v>969</v>
      </c>
      <c r="L66" s="123">
        <v>764</v>
      </c>
      <c r="M66" s="123">
        <v>176</v>
      </c>
      <c r="N66" s="123">
        <v>29</v>
      </c>
      <c r="O66" s="257">
        <v>0</v>
      </c>
      <c r="P66" s="122">
        <f t="shared" si="5"/>
        <v>148</v>
      </c>
      <c r="Q66" s="123">
        <v>125</v>
      </c>
      <c r="R66" s="123">
        <v>23</v>
      </c>
    </row>
    <row r="67" spans="1:18" s="22" customFormat="1" ht="18" customHeight="1">
      <c r="A67" s="79">
        <v>31</v>
      </c>
      <c r="B67" s="81" t="s">
        <v>213</v>
      </c>
      <c r="C67" s="133">
        <v>0</v>
      </c>
      <c r="D67" s="133">
        <v>0</v>
      </c>
      <c r="E67" s="133">
        <v>0</v>
      </c>
      <c r="F67" s="133">
        <v>0</v>
      </c>
      <c r="G67" s="133">
        <v>0</v>
      </c>
      <c r="H67" s="133">
        <v>0</v>
      </c>
      <c r="I67" s="133">
        <v>0</v>
      </c>
      <c r="J67" s="133">
        <v>0</v>
      </c>
      <c r="K67" s="122">
        <f t="shared" si="4"/>
        <v>189</v>
      </c>
      <c r="L67" s="123">
        <v>131</v>
      </c>
      <c r="M67" s="123">
        <v>8</v>
      </c>
      <c r="N67" s="123">
        <v>50</v>
      </c>
      <c r="O67" s="257">
        <v>0</v>
      </c>
      <c r="P67" s="122">
        <f t="shared" si="5"/>
        <v>62</v>
      </c>
      <c r="Q67" s="123">
        <v>9</v>
      </c>
      <c r="R67" s="123">
        <v>53</v>
      </c>
    </row>
    <row r="68" spans="1:18" s="22" customFormat="1" ht="18" customHeight="1">
      <c r="A68" s="79">
        <v>32</v>
      </c>
      <c r="B68" s="81" t="s">
        <v>214</v>
      </c>
      <c r="C68" s="133">
        <v>0</v>
      </c>
      <c r="D68" s="133">
        <v>0</v>
      </c>
      <c r="E68" s="133">
        <v>0</v>
      </c>
      <c r="F68" s="133">
        <v>0</v>
      </c>
      <c r="G68" s="133">
        <v>0</v>
      </c>
      <c r="H68" s="133">
        <v>0</v>
      </c>
      <c r="I68" s="133">
        <v>0</v>
      </c>
      <c r="J68" s="133">
        <v>0</v>
      </c>
      <c r="K68" s="122">
        <f t="shared" si="4"/>
        <v>1267</v>
      </c>
      <c r="L68" s="123">
        <v>1128</v>
      </c>
      <c r="M68" s="123">
        <v>81</v>
      </c>
      <c r="N68" s="123">
        <v>58</v>
      </c>
      <c r="O68" s="123">
        <v>2</v>
      </c>
      <c r="P68" s="122">
        <f t="shared" si="5"/>
        <v>60</v>
      </c>
      <c r="Q68" s="123">
        <v>5</v>
      </c>
      <c r="R68" s="123">
        <v>55</v>
      </c>
    </row>
    <row r="69" spans="1:18" s="22" customFormat="1" ht="18" customHeight="1">
      <c r="A69" s="79">
        <v>33</v>
      </c>
      <c r="B69" s="81" t="s">
        <v>215</v>
      </c>
      <c r="C69" s="133">
        <v>0</v>
      </c>
      <c r="D69" s="133">
        <v>0</v>
      </c>
      <c r="E69" s="133">
        <v>0</v>
      </c>
      <c r="F69" s="133">
        <v>0</v>
      </c>
      <c r="G69" s="133">
        <v>0</v>
      </c>
      <c r="H69" s="133">
        <v>0</v>
      </c>
      <c r="I69" s="133">
        <v>0</v>
      </c>
      <c r="J69" s="133">
        <v>0</v>
      </c>
      <c r="K69" s="122">
        <f t="shared" si="4"/>
        <v>554</v>
      </c>
      <c r="L69" s="123">
        <v>403</v>
      </c>
      <c r="M69" s="123">
        <v>76</v>
      </c>
      <c r="N69" s="123">
        <v>75</v>
      </c>
      <c r="O69" s="123">
        <v>5</v>
      </c>
      <c r="P69" s="122">
        <f t="shared" si="5"/>
        <v>167</v>
      </c>
      <c r="Q69" s="123">
        <v>54</v>
      </c>
      <c r="R69" s="123">
        <v>113</v>
      </c>
    </row>
    <row r="70" spans="1:18" s="22" customFormat="1" ht="18" customHeight="1">
      <c r="A70" s="79">
        <v>34</v>
      </c>
      <c r="B70" s="81" t="s">
        <v>216</v>
      </c>
      <c r="C70" s="133">
        <v>0</v>
      </c>
      <c r="D70" s="133">
        <v>0</v>
      </c>
      <c r="E70" s="133">
        <v>0</v>
      </c>
      <c r="F70" s="133">
        <v>0</v>
      </c>
      <c r="G70" s="133">
        <v>0</v>
      </c>
      <c r="H70" s="133">
        <v>0</v>
      </c>
      <c r="I70" s="133">
        <v>0</v>
      </c>
      <c r="J70" s="133">
        <v>0</v>
      </c>
      <c r="K70" s="122">
        <f t="shared" si="4"/>
        <v>654</v>
      </c>
      <c r="L70" s="123">
        <v>523</v>
      </c>
      <c r="M70" s="123">
        <v>93</v>
      </c>
      <c r="N70" s="123">
        <v>38</v>
      </c>
      <c r="O70" s="123">
        <v>1</v>
      </c>
      <c r="P70" s="122">
        <f t="shared" si="5"/>
        <v>77</v>
      </c>
      <c r="Q70" s="123">
        <v>6</v>
      </c>
      <c r="R70" s="123">
        <v>71</v>
      </c>
    </row>
    <row r="71" spans="1:18" s="22" customFormat="1" ht="18" customHeight="1">
      <c r="A71" s="79">
        <v>35</v>
      </c>
      <c r="B71" s="81" t="s">
        <v>217</v>
      </c>
      <c r="C71" s="133">
        <v>0</v>
      </c>
      <c r="D71" s="133">
        <v>0</v>
      </c>
      <c r="E71" s="133">
        <v>0</v>
      </c>
      <c r="F71" s="133">
        <v>0</v>
      </c>
      <c r="G71" s="133">
        <v>0</v>
      </c>
      <c r="H71" s="133">
        <v>0</v>
      </c>
      <c r="I71" s="133">
        <v>0</v>
      </c>
      <c r="J71" s="133">
        <v>0</v>
      </c>
      <c r="K71" s="122">
        <f t="shared" si="4"/>
        <v>813</v>
      </c>
      <c r="L71" s="123">
        <v>612</v>
      </c>
      <c r="M71" s="123">
        <v>119</v>
      </c>
      <c r="N71" s="123">
        <v>82</v>
      </c>
      <c r="O71" s="123">
        <v>5</v>
      </c>
      <c r="P71" s="122">
        <f t="shared" si="5"/>
        <v>159</v>
      </c>
      <c r="Q71" s="123">
        <v>64</v>
      </c>
      <c r="R71" s="123">
        <v>95</v>
      </c>
    </row>
    <row r="72" spans="1:18" s="22" customFormat="1" ht="18" customHeight="1">
      <c r="A72" s="79">
        <v>36</v>
      </c>
      <c r="B72" s="82" t="s">
        <v>218</v>
      </c>
      <c r="C72" s="133">
        <v>0</v>
      </c>
      <c r="D72" s="133">
        <v>0</v>
      </c>
      <c r="E72" s="133">
        <v>0</v>
      </c>
      <c r="F72" s="133">
        <v>0</v>
      </c>
      <c r="G72" s="133">
        <v>0</v>
      </c>
      <c r="H72" s="133">
        <v>0</v>
      </c>
      <c r="I72" s="133">
        <v>0</v>
      </c>
      <c r="J72" s="133">
        <v>0</v>
      </c>
      <c r="K72" s="122">
        <f t="shared" si="4"/>
        <v>1365</v>
      </c>
      <c r="L72" s="133">
        <v>1250</v>
      </c>
      <c r="M72" s="133">
        <v>61</v>
      </c>
      <c r="N72" s="133">
        <v>54</v>
      </c>
      <c r="O72" s="133">
        <v>3</v>
      </c>
      <c r="P72" s="122">
        <f t="shared" si="5"/>
        <v>68</v>
      </c>
      <c r="Q72" s="133">
        <v>1</v>
      </c>
      <c r="R72" s="133">
        <v>67</v>
      </c>
    </row>
    <row r="73" spans="1:18" s="22" customFormat="1" ht="18" customHeight="1">
      <c r="A73" s="79">
        <v>37</v>
      </c>
      <c r="B73" s="82" t="s">
        <v>219</v>
      </c>
      <c r="C73" s="133">
        <v>0</v>
      </c>
      <c r="D73" s="133">
        <v>0</v>
      </c>
      <c r="E73" s="133">
        <v>0</v>
      </c>
      <c r="F73" s="133">
        <v>0</v>
      </c>
      <c r="G73" s="133">
        <v>0</v>
      </c>
      <c r="H73" s="133">
        <v>0</v>
      </c>
      <c r="I73" s="133">
        <v>0</v>
      </c>
      <c r="J73" s="133">
        <v>0</v>
      </c>
      <c r="K73" s="122">
        <f t="shared" si="4"/>
        <v>417</v>
      </c>
      <c r="L73" s="133">
        <v>303</v>
      </c>
      <c r="M73" s="133">
        <v>28</v>
      </c>
      <c r="N73" s="133">
        <v>86</v>
      </c>
      <c r="O73" s="133">
        <v>3</v>
      </c>
      <c r="P73" s="122">
        <f t="shared" si="5"/>
        <v>131</v>
      </c>
      <c r="Q73" s="133">
        <v>28</v>
      </c>
      <c r="R73" s="133">
        <v>103</v>
      </c>
    </row>
    <row r="74" spans="1:18" s="22" customFormat="1" ht="18" customHeight="1">
      <c r="A74" s="79">
        <v>38</v>
      </c>
      <c r="B74" s="82" t="s">
        <v>220</v>
      </c>
      <c r="C74" s="133">
        <v>0</v>
      </c>
      <c r="D74" s="133">
        <v>0</v>
      </c>
      <c r="E74" s="133">
        <v>0</v>
      </c>
      <c r="F74" s="133">
        <v>0</v>
      </c>
      <c r="G74" s="133">
        <v>0</v>
      </c>
      <c r="H74" s="133">
        <v>0</v>
      </c>
      <c r="I74" s="133">
        <v>0</v>
      </c>
      <c r="J74" s="133">
        <v>0</v>
      </c>
      <c r="K74" s="122">
        <f t="shared" si="4"/>
        <v>871</v>
      </c>
      <c r="L74" s="133">
        <v>729</v>
      </c>
      <c r="M74" s="133">
        <v>108</v>
      </c>
      <c r="N74" s="133">
        <v>34</v>
      </c>
      <c r="O74" s="133">
        <v>2</v>
      </c>
      <c r="P74" s="122">
        <f t="shared" si="5"/>
        <v>147</v>
      </c>
      <c r="Q74" s="133">
        <v>62</v>
      </c>
      <c r="R74" s="133">
        <v>85</v>
      </c>
    </row>
    <row r="75" spans="1:18" s="22" customFormat="1" ht="18" customHeight="1">
      <c r="A75" s="79">
        <v>39</v>
      </c>
      <c r="B75" s="82" t="s">
        <v>221</v>
      </c>
      <c r="C75" s="133">
        <v>0</v>
      </c>
      <c r="D75" s="133">
        <v>0</v>
      </c>
      <c r="E75" s="133">
        <v>0</v>
      </c>
      <c r="F75" s="133">
        <v>0</v>
      </c>
      <c r="G75" s="133">
        <v>0</v>
      </c>
      <c r="H75" s="133">
        <v>0</v>
      </c>
      <c r="I75" s="133">
        <v>0</v>
      </c>
      <c r="J75" s="133">
        <v>0</v>
      </c>
      <c r="K75" s="122">
        <f t="shared" si="4"/>
        <v>1996</v>
      </c>
      <c r="L75" s="133">
        <v>1900</v>
      </c>
      <c r="M75" s="133">
        <v>48</v>
      </c>
      <c r="N75" s="133">
        <v>48</v>
      </c>
      <c r="O75" s="257">
        <v>0</v>
      </c>
      <c r="P75" s="122">
        <f t="shared" si="5"/>
        <v>96</v>
      </c>
      <c r="Q75" s="133">
        <v>62</v>
      </c>
      <c r="R75" s="133">
        <v>34</v>
      </c>
    </row>
    <row r="76" spans="1:18" s="22" customFormat="1" ht="18" customHeight="1">
      <c r="A76" s="79">
        <v>40</v>
      </c>
      <c r="B76" s="82" t="s">
        <v>222</v>
      </c>
      <c r="C76" s="133">
        <v>0</v>
      </c>
      <c r="D76" s="133">
        <v>0</v>
      </c>
      <c r="E76" s="133">
        <v>0</v>
      </c>
      <c r="F76" s="133">
        <v>0</v>
      </c>
      <c r="G76" s="133">
        <v>0</v>
      </c>
      <c r="H76" s="133">
        <v>0</v>
      </c>
      <c r="I76" s="133">
        <v>0</v>
      </c>
      <c r="J76" s="133">
        <v>0</v>
      </c>
      <c r="K76" s="122">
        <f t="shared" si="4"/>
        <v>6346</v>
      </c>
      <c r="L76" s="133">
        <v>5584</v>
      </c>
      <c r="M76" s="133">
        <v>721</v>
      </c>
      <c r="N76" s="133">
        <v>41</v>
      </c>
      <c r="O76" s="133">
        <v>1</v>
      </c>
      <c r="P76" s="122">
        <f t="shared" si="5"/>
        <v>742</v>
      </c>
      <c r="Q76" s="133">
        <v>580</v>
      </c>
      <c r="R76" s="133">
        <v>162</v>
      </c>
    </row>
    <row r="77" spans="1:18" s="22" customFormat="1" ht="18" customHeight="1">
      <c r="A77" s="79">
        <v>41</v>
      </c>
      <c r="B77" s="82" t="s">
        <v>223</v>
      </c>
      <c r="C77" s="133">
        <v>0</v>
      </c>
      <c r="D77" s="133">
        <v>0</v>
      </c>
      <c r="E77" s="133">
        <v>0</v>
      </c>
      <c r="F77" s="133">
        <v>0</v>
      </c>
      <c r="G77" s="133">
        <v>0</v>
      </c>
      <c r="H77" s="133">
        <v>0</v>
      </c>
      <c r="I77" s="133">
        <v>0</v>
      </c>
      <c r="J77" s="133">
        <v>0</v>
      </c>
      <c r="K77" s="122">
        <f t="shared" si="4"/>
        <v>456</v>
      </c>
      <c r="L77" s="133">
        <v>394</v>
      </c>
      <c r="M77" s="133">
        <v>25</v>
      </c>
      <c r="N77" s="133">
        <v>37</v>
      </c>
      <c r="O77" s="133">
        <v>4</v>
      </c>
      <c r="P77" s="122">
        <f t="shared" si="5"/>
        <v>64</v>
      </c>
      <c r="Q77" s="133">
        <v>18</v>
      </c>
      <c r="R77" s="133">
        <v>46</v>
      </c>
    </row>
    <row r="78" spans="1:18" s="22" customFormat="1" ht="18" customHeight="1">
      <c r="A78" s="79">
        <v>42</v>
      </c>
      <c r="B78" s="82" t="s">
        <v>224</v>
      </c>
      <c r="C78" s="133">
        <v>0</v>
      </c>
      <c r="D78" s="133">
        <v>0</v>
      </c>
      <c r="E78" s="133">
        <v>0</v>
      </c>
      <c r="F78" s="133">
        <v>0</v>
      </c>
      <c r="G78" s="133">
        <v>0</v>
      </c>
      <c r="H78" s="133">
        <v>0</v>
      </c>
      <c r="I78" s="133">
        <v>0</v>
      </c>
      <c r="J78" s="133">
        <v>0</v>
      </c>
      <c r="K78" s="122">
        <f t="shared" si="4"/>
        <v>587</v>
      </c>
      <c r="L78" s="133">
        <v>494</v>
      </c>
      <c r="M78" s="133">
        <v>29</v>
      </c>
      <c r="N78" s="133">
        <v>64</v>
      </c>
      <c r="O78" s="133">
        <v>4</v>
      </c>
      <c r="P78" s="122">
        <f t="shared" si="5"/>
        <v>142</v>
      </c>
      <c r="Q78" s="133">
        <v>24</v>
      </c>
      <c r="R78" s="133">
        <v>118</v>
      </c>
    </row>
    <row r="79" spans="1:18" s="22" customFormat="1" ht="18" customHeight="1">
      <c r="A79" s="79">
        <v>43</v>
      </c>
      <c r="B79" s="82" t="s">
        <v>225</v>
      </c>
      <c r="C79" s="133">
        <v>0</v>
      </c>
      <c r="D79" s="133">
        <v>0</v>
      </c>
      <c r="E79" s="133">
        <v>0</v>
      </c>
      <c r="F79" s="133">
        <v>0</v>
      </c>
      <c r="G79" s="133">
        <v>0</v>
      </c>
      <c r="H79" s="133">
        <v>0</v>
      </c>
      <c r="I79" s="133">
        <v>0</v>
      </c>
      <c r="J79" s="133">
        <v>0</v>
      </c>
      <c r="K79" s="122">
        <f t="shared" si="4"/>
        <v>1479</v>
      </c>
      <c r="L79" s="133">
        <v>1226</v>
      </c>
      <c r="M79" s="133">
        <v>179</v>
      </c>
      <c r="N79" s="133">
        <v>74</v>
      </c>
      <c r="O79" s="133">
        <v>1</v>
      </c>
      <c r="P79" s="122">
        <f t="shared" si="5"/>
        <v>283</v>
      </c>
      <c r="Q79" s="133">
        <v>218</v>
      </c>
      <c r="R79" s="133">
        <v>65</v>
      </c>
    </row>
    <row r="80" spans="1:18" s="22" customFormat="1" ht="18" customHeight="1">
      <c r="A80" s="79">
        <v>44</v>
      </c>
      <c r="B80" s="82" t="s">
        <v>226</v>
      </c>
      <c r="C80" s="133">
        <v>0</v>
      </c>
      <c r="D80" s="133">
        <v>0</v>
      </c>
      <c r="E80" s="133">
        <v>0</v>
      </c>
      <c r="F80" s="133">
        <v>0</v>
      </c>
      <c r="G80" s="133">
        <v>0</v>
      </c>
      <c r="H80" s="133">
        <v>0</v>
      </c>
      <c r="I80" s="133">
        <v>0</v>
      </c>
      <c r="J80" s="133">
        <v>0</v>
      </c>
      <c r="K80" s="122">
        <f t="shared" si="4"/>
        <v>348</v>
      </c>
      <c r="L80" s="133">
        <v>63</v>
      </c>
      <c r="M80" s="133">
        <v>252</v>
      </c>
      <c r="N80" s="133">
        <v>33</v>
      </c>
      <c r="O80" s="257">
        <v>0</v>
      </c>
      <c r="P80" s="122">
        <f t="shared" si="5"/>
        <v>78</v>
      </c>
      <c r="Q80" s="133">
        <v>16</v>
      </c>
      <c r="R80" s="133">
        <v>62</v>
      </c>
    </row>
    <row r="81" spans="1:18" s="199" customFormat="1" ht="18" customHeight="1">
      <c r="A81" s="79">
        <v>45</v>
      </c>
      <c r="B81" s="83" t="s">
        <v>231</v>
      </c>
      <c r="C81" s="133">
        <v>0</v>
      </c>
      <c r="D81" s="133">
        <v>0</v>
      </c>
      <c r="E81" s="133">
        <v>0</v>
      </c>
      <c r="F81" s="133">
        <v>0</v>
      </c>
      <c r="G81" s="133">
        <v>0</v>
      </c>
      <c r="H81" s="133">
        <v>0</v>
      </c>
      <c r="I81" s="133">
        <v>0</v>
      </c>
      <c r="J81" s="133">
        <v>0</v>
      </c>
      <c r="K81" s="122">
        <f t="shared" si="4"/>
        <v>1475</v>
      </c>
      <c r="L81" s="123">
        <v>1327</v>
      </c>
      <c r="M81" s="123">
        <v>117</v>
      </c>
      <c r="N81" s="123">
        <v>31</v>
      </c>
      <c r="O81" s="123">
        <v>1</v>
      </c>
      <c r="P81" s="122">
        <f t="shared" si="5"/>
        <v>97</v>
      </c>
      <c r="Q81" s="123">
        <v>39</v>
      </c>
      <c r="R81" s="123">
        <v>58</v>
      </c>
    </row>
    <row r="82" spans="1:18" s="199" customFormat="1" ht="18" customHeight="1">
      <c r="A82" s="79">
        <v>46</v>
      </c>
      <c r="B82" s="83" t="s">
        <v>232</v>
      </c>
      <c r="C82" s="133">
        <v>0</v>
      </c>
      <c r="D82" s="133">
        <v>0</v>
      </c>
      <c r="E82" s="133">
        <v>0</v>
      </c>
      <c r="F82" s="133">
        <v>0</v>
      </c>
      <c r="G82" s="133">
        <v>0</v>
      </c>
      <c r="H82" s="133">
        <v>0</v>
      </c>
      <c r="I82" s="133">
        <v>0</v>
      </c>
      <c r="J82" s="133">
        <v>0</v>
      </c>
      <c r="K82" s="122">
        <f t="shared" si="4"/>
        <v>709</v>
      </c>
      <c r="L82" s="123">
        <v>605</v>
      </c>
      <c r="M82" s="123">
        <v>68</v>
      </c>
      <c r="N82" s="123">
        <v>36</v>
      </c>
      <c r="O82" s="123"/>
      <c r="P82" s="122">
        <f t="shared" si="5"/>
        <v>84</v>
      </c>
      <c r="Q82" s="123">
        <v>26</v>
      </c>
      <c r="R82" s="123">
        <v>58</v>
      </c>
    </row>
    <row r="83" spans="1:18" s="199" customFormat="1" ht="18" customHeight="1">
      <c r="A83" s="79">
        <v>47</v>
      </c>
      <c r="B83" s="83" t="s">
        <v>233</v>
      </c>
      <c r="C83" s="133">
        <v>0</v>
      </c>
      <c r="D83" s="133">
        <v>0</v>
      </c>
      <c r="E83" s="133">
        <v>0</v>
      </c>
      <c r="F83" s="133">
        <v>0</v>
      </c>
      <c r="G83" s="133">
        <v>0</v>
      </c>
      <c r="H83" s="133">
        <v>0</v>
      </c>
      <c r="I83" s="133">
        <v>0</v>
      </c>
      <c r="J83" s="133">
        <v>0</v>
      </c>
      <c r="K83" s="122">
        <f t="shared" si="4"/>
        <v>942</v>
      </c>
      <c r="L83" s="123">
        <v>754</v>
      </c>
      <c r="M83" s="123">
        <v>122</v>
      </c>
      <c r="N83" s="123">
        <v>66</v>
      </c>
      <c r="O83" s="123">
        <v>1</v>
      </c>
      <c r="P83" s="122">
        <f t="shared" si="5"/>
        <v>101</v>
      </c>
      <c r="Q83" s="123">
        <v>17</v>
      </c>
      <c r="R83" s="123">
        <v>84</v>
      </c>
    </row>
    <row r="84" spans="1:18" s="199" customFormat="1" ht="18" customHeight="1">
      <c r="A84" s="79">
        <v>48</v>
      </c>
      <c r="B84" s="83" t="s">
        <v>234</v>
      </c>
      <c r="C84" s="133">
        <v>0</v>
      </c>
      <c r="D84" s="133">
        <v>0</v>
      </c>
      <c r="E84" s="133">
        <v>0</v>
      </c>
      <c r="F84" s="133">
        <v>0</v>
      </c>
      <c r="G84" s="133">
        <v>0</v>
      </c>
      <c r="H84" s="133">
        <v>0</v>
      </c>
      <c r="I84" s="133">
        <v>0</v>
      </c>
      <c r="J84" s="133">
        <v>0</v>
      </c>
      <c r="K84" s="122">
        <f t="shared" si="4"/>
        <v>1702</v>
      </c>
      <c r="L84" s="123">
        <v>1456</v>
      </c>
      <c r="M84" s="123">
        <v>186</v>
      </c>
      <c r="N84" s="123">
        <v>60</v>
      </c>
      <c r="O84" s="257">
        <v>0</v>
      </c>
      <c r="P84" s="122">
        <f t="shared" si="5"/>
        <v>207</v>
      </c>
      <c r="Q84" s="123">
        <v>115</v>
      </c>
      <c r="R84" s="123">
        <v>92</v>
      </c>
    </row>
    <row r="85" spans="1:18" s="199" customFormat="1" ht="18" customHeight="1">
      <c r="A85" s="79">
        <v>49</v>
      </c>
      <c r="B85" s="83" t="s">
        <v>235</v>
      </c>
      <c r="C85" s="133">
        <v>0</v>
      </c>
      <c r="D85" s="133">
        <v>0</v>
      </c>
      <c r="E85" s="133">
        <v>0</v>
      </c>
      <c r="F85" s="133">
        <v>0</v>
      </c>
      <c r="G85" s="133">
        <v>0</v>
      </c>
      <c r="H85" s="133">
        <v>0</v>
      </c>
      <c r="I85" s="133">
        <v>0</v>
      </c>
      <c r="J85" s="133">
        <v>0</v>
      </c>
      <c r="K85" s="122">
        <f t="shared" si="4"/>
        <v>1523</v>
      </c>
      <c r="L85" s="123">
        <v>1337</v>
      </c>
      <c r="M85" s="123">
        <v>132</v>
      </c>
      <c r="N85" s="123">
        <v>54</v>
      </c>
      <c r="O85" s="123">
        <v>3</v>
      </c>
      <c r="P85" s="122">
        <f t="shared" si="5"/>
        <v>108</v>
      </c>
      <c r="Q85" s="123">
        <v>67</v>
      </c>
      <c r="R85" s="123">
        <v>41</v>
      </c>
    </row>
    <row r="86" spans="1:18" s="199" customFormat="1" ht="18" customHeight="1">
      <c r="A86" s="79">
        <v>50</v>
      </c>
      <c r="B86" s="83" t="s">
        <v>236</v>
      </c>
      <c r="C86" s="133">
        <v>0</v>
      </c>
      <c r="D86" s="133">
        <v>0</v>
      </c>
      <c r="E86" s="133">
        <v>0</v>
      </c>
      <c r="F86" s="133">
        <v>0</v>
      </c>
      <c r="G86" s="133">
        <v>0</v>
      </c>
      <c r="H86" s="133">
        <v>0</v>
      </c>
      <c r="I86" s="133">
        <v>0</v>
      </c>
      <c r="J86" s="133">
        <v>0</v>
      </c>
      <c r="K86" s="122">
        <f t="shared" si="4"/>
        <v>727</v>
      </c>
      <c r="L86" s="123">
        <v>561</v>
      </c>
      <c r="M86" s="123">
        <v>93</v>
      </c>
      <c r="N86" s="123">
        <v>73</v>
      </c>
      <c r="O86" s="123">
        <v>7</v>
      </c>
      <c r="P86" s="122">
        <f t="shared" si="5"/>
        <v>112</v>
      </c>
      <c r="Q86" s="123">
        <v>18</v>
      </c>
      <c r="R86" s="123">
        <v>94</v>
      </c>
    </row>
    <row r="87" spans="1:18" s="199" customFormat="1" ht="18" customHeight="1">
      <c r="A87" s="79">
        <v>51</v>
      </c>
      <c r="B87" s="84" t="s">
        <v>237</v>
      </c>
      <c r="C87" s="133">
        <v>0</v>
      </c>
      <c r="D87" s="133">
        <v>0</v>
      </c>
      <c r="E87" s="133">
        <v>0</v>
      </c>
      <c r="F87" s="133">
        <v>0</v>
      </c>
      <c r="G87" s="133">
        <v>0</v>
      </c>
      <c r="H87" s="133">
        <v>0</v>
      </c>
      <c r="I87" s="133">
        <v>0</v>
      </c>
      <c r="J87" s="133">
        <v>0</v>
      </c>
      <c r="K87" s="122">
        <f t="shared" si="4"/>
        <v>482</v>
      </c>
      <c r="L87" s="123">
        <v>373</v>
      </c>
      <c r="M87" s="123">
        <v>61</v>
      </c>
      <c r="N87" s="123">
        <v>48</v>
      </c>
      <c r="O87" s="257">
        <v>0</v>
      </c>
      <c r="P87" s="122">
        <f t="shared" si="5"/>
        <v>80</v>
      </c>
      <c r="Q87" s="123">
        <v>32</v>
      </c>
      <c r="R87" s="123">
        <v>48</v>
      </c>
    </row>
    <row r="88" spans="1:18" s="199" customFormat="1" ht="18" customHeight="1">
      <c r="A88" s="79">
        <v>52</v>
      </c>
      <c r="B88" s="84" t="s">
        <v>238</v>
      </c>
      <c r="C88" s="133">
        <v>0</v>
      </c>
      <c r="D88" s="133">
        <v>0</v>
      </c>
      <c r="E88" s="133">
        <v>0</v>
      </c>
      <c r="F88" s="133">
        <v>0</v>
      </c>
      <c r="G88" s="133">
        <v>0</v>
      </c>
      <c r="H88" s="133">
        <v>0</v>
      </c>
      <c r="I88" s="133">
        <v>0</v>
      </c>
      <c r="J88" s="133">
        <v>0</v>
      </c>
      <c r="K88" s="122">
        <f t="shared" si="4"/>
        <v>872</v>
      </c>
      <c r="L88" s="123">
        <v>654</v>
      </c>
      <c r="M88" s="123">
        <v>109</v>
      </c>
      <c r="N88" s="123">
        <v>109</v>
      </c>
      <c r="O88" s="123">
        <v>6</v>
      </c>
      <c r="P88" s="122">
        <f t="shared" si="5"/>
        <v>144</v>
      </c>
      <c r="Q88" s="123">
        <v>35</v>
      </c>
      <c r="R88" s="123">
        <v>109</v>
      </c>
    </row>
    <row r="89" spans="1:18" s="199" customFormat="1" ht="18" customHeight="1">
      <c r="A89" s="79">
        <v>53</v>
      </c>
      <c r="B89" s="84" t="s">
        <v>239</v>
      </c>
      <c r="C89" s="133">
        <v>0</v>
      </c>
      <c r="D89" s="133">
        <v>0</v>
      </c>
      <c r="E89" s="133">
        <v>0</v>
      </c>
      <c r="F89" s="133">
        <v>0</v>
      </c>
      <c r="G89" s="133">
        <v>0</v>
      </c>
      <c r="H89" s="133">
        <v>0</v>
      </c>
      <c r="I89" s="133">
        <v>0</v>
      </c>
      <c r="J89" s="133">
        <v>0</v>
      </c>
      <c r="K89" s="122">
        <f t="shared" si="4"/>
        <v>1250</v>
      </c>
      <c r="L89" s="123">
        <v>1199</v>
      </c>
      <c r="M89" s="123">
        <v>17</v>
      </c>
      <c r="N89" s="123">
        <v>34</v>
      </c>
      <c r="O89" s="123"/>
      <c r="P89" s="122">
        <f t="shared" si="5"/>
        <v>23</v>
      </c>
      <c r="Q89" s="123">
        <v>1</v>
      </c>
      <c r="R89" s="123">
        <v>22</v>
      </c>
    </row>
    <row r="90" spans="1:18" s="199" customFormat="1" ht="18" customHeight="1">
      <c r="A90" s="79">
        <v>54</v>
      </c>
      <c r="B90" s="84" t="s">
        <v>240</v>
      </c>
      <c r="C90" s="133">
        <v>0</v>
      </c>
      <c r="D90" s="133">
        <v>0</v>
      </c>
      <c r="E90" s="133">
        <v>0</v>
      </c>
      <c r="F90" s="133">
        <v>0</v>
      </c>
      <c r="G90" s="133">
        <v>0</v>
      </c>
      <c r="H90" s="133">
        <v>0</v>
      </c>
      <c r="I90" s="133">
        <v>0</v>
      </c>
      <c r="J90" s="133">
        <v>0</v>
      </c>
      <c r="K90" s="122">
        <f t="shared" si="4"/>
        <v>522</v>
      </c>
      <c r="L90" s="123">
        <v>369</v>
      </c>
      <c r="M90" s="123">
        <v>112</v>
      </c>
      <c r="N90" s="123">
        <v>41</v>
      </c>
      <c r="O90" s="123">
        <v>6</v>
      </c>
      <c r="P90" s="122">
        <f t="shared" si="5"/>
        <v>120</v>
      </c>
      <c r="Q90" s="123">
        <v>65</v>
      </c>
      <c r="R90" s="123">
        <v>55</v>
      </c>
    </row>
    <row r="91" spans="1:18" s="199" customFormat="1" ht="18" customHeight="1">
      <c r="A91" s="79">
        <v>55</v>
      </c>
      <c r="B91" s="84" t="s">
        <v>241</v>
      </c>
      <c r="C91" s="133">
        <v>0</v>
      </c>
      <c r="D91" s="133">
        <v>0</v>
      </c>
      <c r="E91" s="133">
        <v>0</v>
      </c>
      <c r="F91" s="133">
        <v>0</v>
      </c>
      <c r="G91" s="133">
        <v>0</v>
      </c>
      <c r="H91" s="133">
        <v>0</v>
      </c>
      <c r="I91" s="133">
        <v>0</v>
      </c>
      <c r="J91" s="133">
        <v>0</v>
      </c>
      <c r="K91" s="122">
        <f t="shared" si="4"/>
        <v>3965</v>
      </c>
      <c r="L91" s="123">
        <v>3434</v>
      </c>
      <c r="M91" s="123">
        <v>437</v>
      </c>
      <c r="N91" s="123">
        <v>94</v>
      </c>
      <c r="O91" s="257">
        <v>0</v>
      </c>
      <c r="P91" s="122">
        <f t="shared" si="5"/>
        <v>372</v>
      </c>
      <c r="Q91" s="123">
        <v>278</v>
      </c>
      <c r="R91" s="123">
        <v>94</v>
      </c>
    </row>
    <row r="92" spans="1:18" s="199" customFormat="1" ht="18" customHeight="1">
      <c r="A92" s="79">
        <v>56</v>
      </c>
      <c r="B92" s="84" t="s">
        <v>242</v>
      </c>
      <c r="C92" s="133">
        <v>0</v>
      </c>
      <c r="D92" s="133">
        <v>0</v>
      </c>
      <c r="E92" s="133">
        <v>0</v>
      </c>
      <c r="F92" s="133">
        <v>0</v>
      </c>
      <c r="G92" s="133">
        <v>0</v>
      </c>
      <c r="H92" s="133">
        <v>0</v>
      </c>
      <c r="I92" s="133">
        <v>0</v>
      </c>
      <c r="J92" s="133">
        <v>0</v>
      </c>
      <c r="K92" s="122">
        <f t="shared" si="4"/>
        <v>1176</v>
      </c>
      <c r="L92" s="123">
        <v>965</v>
      </c>
      <c r="M92" s="123">
        <v>158</v>
      </c>
      <c r="N92" s="123">
        <v>53</v>
      </c>
      <c r="O92" s="123">
        <v>4</v>
      </c>
      <c r="P92" s="122">
        <f t="shared" si="5"/>
        <v>138</v>
      </c>
      <c r="Q92" s="123">
        <v>47</v>
      </c>
      <c r="R92" s="123">
        <v>91</v>
      </c>
    </row>
    <row r="93" spans="1:18" s="199" customFormat="1" ht="18" customHeight="1">
      <c r="A93" s="79">
        <v>57</v>
      </c>
      <c r="B93" s="84" t="s">
        <v>243</v>
      </c>
      <c r="C93" s="133">
        <v>0</v>
      </c>
      <c r="D93" s="133">
        <v>0</v>
      </c>
      <c r="E93" s="133">
        <v>0</v>
      </c>
      <c r="F93" s="133">
        <v>0</v>
      </c>
      <c r="G93" s="133">
        <v>0</v>
      </c>
      <c r="H93" s="133">
        <v>0</v>
      </c>
      <c r="I93" s="133">
        <v>0</v>
      </c>
      <c r="J93" s="133">
        <v>0</v>
      </c>
      <c r="K93" s="122">
        <f t="shared" si="4"/>
        <v>1390</v>
      </c>
      <c r="L93" s="123">
        <v>1217</v>
      </c>
      <c r="M93" s="123">
        <v>103</v>
      </c>
      <c r="N93" s="123">
        <v>70</v>
      </c>
      <c r="O93" s="123">
        <v>1</v>
      </c>
      <c r="P93" s="122">
        <f t="shared" si="5"/>
        <v>99</v>
      </c>
      <c r="Q93" s="123">
        <v>8</v>
      </c>
      <c r="R93" s="123">
        <v>91</v>
      </c>
    </row>
    <row r="94" spans="1:18" s="199" customFormat="1" ht="18" customHeight="1">
      <c r="A94" s="79">
        <v>58</v>
      </c>
      <c r="B94" s="84" t="s">
        <v>244</v>
      </c>
      <c r="C94" s="133">
        <v>0</v>
      </c>
      <c r="D94" s="133">
        <v>0</v>
      </c>
      <c r="E94" s="133">
        <v>0</v>
      </c>
      <c r="F94" s="133">
        <v>0</v>
      </c>
      <c r="G94" s="133">
        <v>0</v>
      </c>
      <c r="H94" s="133">
        <v>0</v>
      </c>
      <c r="I94" s="133">
        <v>0</v>
      </c>
      <c r="J94" s="133">
        <v>0</v>
      </c>
      <c r="K94" s="122">
        <f t="shared" si="4"/>
        <v>515</v>
      </c>
      <c r="L94" s="123">
        <v>384</v>
      </c>
      <c r="M94" s="123">
        <v>106</v>
      </c>
      <c r="N94" s="123">
        <v>25</v>
      </c>
      <c r="O94" s="123">
        <v>2</v>
      </c>
      <c r="P94" s="122">
        <f t="shared" si="5"/>
        <v>151</v>
      </c>
      <c r="Q94" s="123">
        <v>81</v>
      </c>
      <c r="R94" s="123">
        <v>70</v>
      </c>
    </row>
    <row r="95" spans="1:18" s="199" customFormat="1" ht="18" customHeight="1">
      <c r="A95" s="79">
        <v>59</v>
      </c>
      <c r="B95" s="84" t="s">
        <v>245</v>
      </c>
      <c r="C95" s="133">
        <v>0</v>
      </c>
      <c r="D95" s="133">
        <v>0</v>
      </c>
      <c r="E95" s="133">
        <v>0</v>
      </c>
      <c r="F95" s="133">
        <v>0</v>
      </c>
      <c r="G95" s="133">
        <v>0</v>
      </c>
      <c r="H95" s="133">
        <v>0</v>
      </c>
      <c r="I95" s="133">
        <v>0</v>
      </c>
      <c r="J95" s="133">
        <v>0</v>
      </c>
      <c r="K95" s="122">
        <f t="shared" si="4"/>
        <v>303</v>
      </c>
      <c r="L95" s="123">
        <v>299</v>
      </c>
      <c r="M95" s="123">
        <v>2</v>
      </c>
      <c r="N95" s="123">
        <v>2</v>
      </c>
      <c r="O95" s="123">
        <v>2</v>
      </c>
      <c r="P95" s="122">
        <f t="shared" si="5"/>
        <v>66</v>
      </c>
      <c r="Q95" s="123">
        <v>5</v>
      </c>
      <c r="R95" s="123">
        <v>61</v>
      </c>
    </row>
    <row r="96" spans="1:18" s="199" customFormat="1" ht="18" customHeight="1">
      <c r="A96" s="79">
        <v>60</v>
      </c>
      <c r="B96" s="84" t="s">
        <v>246</v>
      </c>
      <c r="C96" s="133">
        <v>0</v>
      </c>
      <c r="D96" s="133">
        <v>0</v>
      </c>
      <c r="E96" s="133">
        <v>0</v>
      </c>
      <c r="F96" s="133">
        <v>0</v>
      </c>
      <c r="G96" s="133">
        <v>0</v>
      </c>
      <c r="H96" s="133">
        <v>0</v>
      </c>
      <c r="I96" s="133">
        <v>0</v>
      </c>
      <c r="J96" s="133">
        <v>0</v>
      </c>
      <c r="K96" s="122">
        <f t="shared" si="4"/>
        <v>577</v>
      </c>
      <c r="L96" s="123">
        <v>492</v>
      </c>
      <c r="M96" s="123">
        <v>41</v>
      </c>
      <c r="N96" s="123">
        <v>44</v>
      </c>
      <c r="O96" s="123">
        <v>3</v>
      </c>
      <c r="P96" s="122">
        <f t="shared" si="5"/>
        <v>73</v>
      </c>
      <c r="Q96" s="123">
        <v>15</v>
      </c>
      <c r="R96" s="123">
        <v>58</v>
      </c>
    </row>
    <row r="97" spans="1:18" s="199" customFormat="1" ht="18" customHeight="1">
      <c r="A97" s="79">
        <v>61</v>
      </c>
      <c r="B97" s="84" t="s">
        <v>247</v>
      </c>
      <c r="C97" s="133">
        <v>0</v>
      </c>
      <c r="D97" s="133">
        <v>0</v>
      </c>
      <c r="E97" s="133">
        <v>0</v>
      </c>
      <c r="F97" s="133">
        <v>0</v>
      </c>
      <c r="G97" s="133">
        <v>0</v>
      </c>
      <c r="H97" s="133">
        <v>0</v>
      </c>
      <c r="I97" s="133">
        <v>0</v>
      </c>
      <c r="J97" s="133">
        <v>0</v>
      </c>
      <c r="K97" s="122">
        <f t="shared" si="4"/>
        <v>454</v>
      </c>
      <c r="L97" s="123">
        <v>409</v>
      </c>
      <c r="M97" s="123">
        <v>45</v>
      </c>
      <c r="N97" s="257">
        <v>0</v>
      </c>
      <c r="O97" s="257">
        <v>0</v>
      </c>
      <c r="P97" s="122">
        <f t="shared" si="5"/>
        <v>65</v>
      </c>
      <c r="Q97" s="123">
        <v>17</v>
      </c>
      <c r="R97" s="123">
        <v>48</v>
      </c>
    </row>
    <row r="98" spans="1:18" s="199" customFormat="1" ht="18" customHeight="1">
      <c r="A98" s="79">
        <v>62</v>
      </c>
      <c r="B98" s="84" t="s">
        <v>248</v>
      </c>
      <c r="C98" s="133">
        <v>0</v>
      </c>
      <c r="D98" s="133">
        <v>0</v>
      </c>
      <c r="E98" s="133">
        <v>0</v>
      </c>
      <c r="F98" s="133">
        <v>0</v>
      </c>
      <c r="G98" s="133">
        <v>0</v>
      </c>
      <c r="H98" s="133">
        <v>0</v>
      </c>
      <c r="I98" s="133">
        <v>0</v>
      </c>
      <c r="J98" s="133">
        <v>0</v>
      </c>
      <c r="K98" s="122">
        <f t="shared" si="4"/>
        <v>353</v>
      </c>
      <c r="L98" s="123">
        <v>290</v>
      </c>
      <c r="M98" s="123">
        <v>19</v>
      </c>
      <c r="N98" s="123">
        <v>44</v>
      </c>
      <c r="O98" s="123"/>
      <c r="P98" s="122">
        <f t="shared" si="5"/>
        <v>64</v>
      </c>
      <c r="Q98" s="123">
        <v>11</v>
      </c>
      <c r="R98" s="123">
        <v>53</v>
      </c>
    </row>
    <row r="99" spans="1:18" s="199" customFormat="1" ht="18" customHeight="1">
      <c r="A99" s="79">
        <v>63</v>
      </c>
      <c r="B99" s="84" t="s">
        <v>249</v>
      </c>
      <c r="C99" s="133">
        <v>0</v>
      </c>
      <c r="D99" s="133">
        <v>0</v>
      </c>
      <c r="E99" s="133">
        <v>0</v>
      </c>
      <c r="F99" s="133">
        <v>0</v>
      </c>
      <c r="G99" s="133">
        <v>0</v>
      </c>
      <c r="H99" s="133">
        <v>0</v>
      </c>
      <c r="I99" s="133">
        <v>0</v>
      </c>
      <c r="J99" s="133">
        <v>0</v>
      </c>
      <c r="K99" s="122">
        <f t="shared" si="4"/>
        <v>720</v>
      </c>
      <c r="L99" s="123">
        <v>597</v>
      </c>
      <c r="M99" s="123">
        <v>68</v>
      </c>
      <c r="N99" s="123">
        <v>55</v>
      </c>
      <c r="O99" s="123">
        <v>2</v>
      </c>
      <c r="P99" s="122">
        <f t="shared" si="5"/>
        <v>66</v>
      </c>
      <c r="Q99" s="123">
        <v>4</v>
      </c>
      <c r="R99" s="123">
        <v>62</v>
      </c>
    </row>
    <row r="100" spans="1:18" s="22" customFormat="1" ht="12.75">
      <c r="A100" s="14"/>
      <c r="B100" s="61"/>
      <c r="C100" s="61"/>
      <c r="D100" s="14"/>
      <c r="E100" s="14"/>
      <c r="F100" s="14"/>
      <c r="G100" s="14"/>
      <c r="H100" s="14"/>
      <c r="I100" s="14"/>
      <c r="J100" s="14"/>
      <c r="K100" s="200"/>
      <c r="L100" s="14"/>
      <c r="M100" s="14"/>
      <c r="N100" s="14"/>
      <c r="O100" s="14"/>
      <c r="P100" s="14"/>
      <c r="Q100" s="14"/>
      <c r="R100" s="14"/>
    </row>
    <row r="101" spans="1:18" s="102" customFormat="1" ht="12.75">
      <c r="A101" s="32"/>
      <c r="B101" s="32" t="s">
        <v>252</v>
      </c>
      <c r="C101" s="32" t="s">
        <v>303</v>
      </c>
      <c r="D101" s="32"/>
      <c r="E101" s="32"/>
      <c r="F101" s="32"/>
      <c r="G101" s="32"/>
      <c r="H101" s="32"/>
      <c r="I101" s="32"/>
      <c r="J101" s="32"/>
      <c r="K101" s="100"/>
      <c r="L101" s="32"/>
      <c r="M101" s="32"/>
      <c r="N101" s="32"/>
      <c r="O101" s="32"/>
      <c r="P101" s="32"/>
      <c r="Q101" s="32"/>
      <c r="R101" s="32"/>
    </row>
    <row r="102" spans="1:18" s="102" customFormat="1" ht="12.75">
      <c r="A102" s="32"/>
      <c r="B102" s="32" t="s">
        <v>304</v>
      </c>
      <c r="C102" s="32" t="s">
        <v>305</v>
      </c>
      <c r="D102" s="32"/>
      <c r="E102" s="32"/>
      <c r="F102" s="32"/>
      <c r="G102" s="32"/>
      <c r="H102" s="32"/>
      <c r="I102" s="32"/>
      <c r="J102" s="32"/>
      <c r="K102" s="100"/>
      <c r="L102" s="32"/>
      <c r="M102" s="32"/>
      <c r="N102" s="32"/>
      <c r="O102" s="32"/>
      <c r="P102" s="32"/>
      <c r="Q102" s="32"/>
      <c r="R102" s="32"/>
    </row>
    <row r="103" spans="1:18" s="99" customFormat="1" ht="12.75">
      <c r="A103" s="32"/>
      <c r="B103" s="32" t="s">
        <v>278</v>
      </c>
      <c r="C103" s="32" t="s">
        <v>306</v>
      </c>
      <c r="E103" s="32"/>
      <c r="F103" s="32"/>
      <c r="G103" s="32"/>
      <c r="H103" s="32"/>
      <c r="I103" s="32"/>
      <c r="J103" s="32"/>
      <c r="K103" s="100"/>
      <c r="L103" s="32"/>
      <c r="M103" s="32"/>
      <c r="N103" s="32"/>
      <c r="O103" s="32"/>
      <c r="P103" s="32"/>
      <c r="Q103" s="32"/>
      <c r="R103" s="32"/>
    </row>
    <row r="104" spans="1:18" s="22" customFormat="1" ht="12.75">
      <c r="A104" s="14"/>
      <c r="B104" s="61"/>
      <c r="C104" s="61"/>
      <c r="D104" s="14"/>
      <c r="E104" s="14"/>
      <c r="F104" s="14"/>
      <c r="G104" s="14"/>
      <c r="H104" s="14"/>
      <c r="I104" s="14"/>
      <c r="J104" s="14"/>
      <c r="K104" s="200"/>
      <c r="L104" s="14"/>
      <c r="M104" s="14"/>
      <c r="N104" s="14"/>
      <c r="O104" s="14"/>
      <c r="P104" s="14"/>
      <c r="Q104" s="14"/>
      <c r="R104" s="14"/>
    </row>
    <row r="105" spans="1:18" s="22" customFormat="1" ht="12.75">
      <c r="A105" s="14"/>
      <c r="B105" s="61"/>
      <c r="C105" s="61"/>
      <c r="D105" s="14"/>
      <c r="E105" s="14"/>
      <c r="F105" s="14"/>
      <c r="G105" s="14"/>
      <c r="H105" s="14"/>
      <c r="I105" s="14"/>
      <c r="J105" s="14"/>
      <c r="K105" s="200"/>
      <c r="L105" s="14"/>
      <c r="M105" s="14"/>
      <c r="N105" s="14"/>
      <c r="O105" s="14"/>
      <c r="P105" s="14"/>
      <c r="Q105" s="14"/>
      <c r="R105" s="14"/>
    </row>
    <row r="106" spans="1:18" s="22" customFormat="1" ht="12.75">
      <c r="A106" s="14"/>
      <c r="B106" s="61"/>
      <c r="C106" s="61"/>
      <c r="D106" s="14"/>
      <c r="E106" s="14"/>
      <c r="F106" s="14"/>
      <c r="G106" s="14"/>
      <c r="H106" s="14"/>
      <c r="I106" s="14"/>
      <c r="J106" s="14"/>
      <c r="K106" s="200"/>
      <c r="L106" s="14"/>
      <c r="M106" s="14"/>
      <c r="N106" s="14"/>
      <c r="O106" s="14"/>
      <c r="P106" s="14"/>
      <c r="Q106" s="14"/>
      <c r="R106" s="14"/>
    </row>
    <row r="107" spans="1:18" s="22" customFormat="1" ht="12.75">
      <c r="A107" s="14"/>
      <c r="B107" s="61"/>
      <c r="C107" s="61"/>
      <c r="D107" s="14"/>
      <c r="E107" s="14"/>
      <c r="F107" s="14"/>
      <c r="G107" s="14"/>
      <c r="H107" s="14"/>
      <c r="I107" s="14"/>
      <c r="J107" s="14"/>
      <c r="K107" s="200"/>
      <c r="L107" s="14"/>
      <c r="M107" s="14"/>
      <c r="N107" s="14"/>
      <c r="O107" s="14"/>
      <c r="P107" s="14"/>
      <c r="Q107" s="14"/>
      <c r="R107" s="14"/>
    </row>
    <row r="108" spans="1:18" s="22" customFormat="1" ht="12.75">
      <c r="A108" s="14"/>
      <c r="B108" s="61"/>
      <c r="C108" s="61"/>
      <c r="D108" s="14"/>
      <c r="E108" s="14"/>
      <c r="F108" s="14"/>
      <c r="G108" s="14"/>
      <c r="H108" s="14"/>
      <c r="I108" s="14"/>
      <c r="J108" s="14"/>
      <c r="K108" s="200"/>
      <c r="L108" s="14"/>
      <c r="M108" s="14"/>
      <c r="N108" s="14"/>
      <c r="O108" s="14"/>
      <c r="P108" s="14"/>
      <c r="Q108" s="14"/>
      <c r="R108" s="14"/>
    </row>
    <row r="109" spans="1:18" s="7" customFormat="1" ht="12.75">
      <c r="A109" s="14"/>
      <c r="B109" s="61"/>
      <c r="C109" s="61"/>
      <c r="D109" s="14"/>
      <c r="E109" s="14"/>
      <c r="F109" s="14"/>
      <c r="G109" s="14"/>
      <c r="H109" s="14"/>
      <c r="I109" s="14"/>
      <c r="J109" s="14"/>
      <c r="K109" s="200"/>
      <c r="L109" s="14"/>
      <c r="M109" s="14"/>
      <c r="N109" s="14"/>
      <c r="O109" s="14"/>
      <c r="P109" s="14"/>
      <c r="Q109" s="14"/>
      <c r="R109" s="14"/>
    </row>
    <row r="110" spans="1:18" s="22" customFormat="1" ht="12.75">
      <c r="A110" s="14"/>
      <c r="B110" s="61"/>
      <c r="C110" s="61"/>
      <c r="D110" s="14"/>
      <c r="E110" s="14"/>
      <c r="F110" s="14"/>
      <c r="G110" s="14"/>
      <c r="H110" s="14"/>
      <c r="I110" s="14"/>
      <c r="J110" s="14"/>
      <c r="K110" s="200"/>
      <c r="L110" s="14"/>
      <c r="M110" s="14"/>
      <c r="N110" s="14"/>
      <c r="O110" s="14"/>
      <c r="P110" s="14"/>
      <c r="Q110" s="14"/>
      <c r="R110" s="14"/>
    </row>
    <row r="111" spans="1:18" s="22" customFormat="1" ht="12.75">
      <c r="A111" s="14"/>
      <c r="B111" s="61"/>
      <c r="C111" s="61"/>
      <c r="D111" s="14"/>
      <c r="E111" s="14"/>
      <c r="F111" s="14"/>
      <c r="G111" s="14"/>
      <c r="H111" s="14"/>
      <c r="I111" s="14"/>
      <c r="J111" s="14"/>
      <c r="K111" s="200"/>
      <c r="L111" s="14"/>
      <c r="M111" s="14"/>
      <c r="N111" s="14"/>
      <c r="O111" s="14"/>
      <c r="P111" s="14"/>
      <c r="Q111" s="14"/>
      <c r="R111" s="14"/>
    </row>
    <row r="112" spans="1:18" s="201" customFormat="1" ht="12.75">
      <c r="A112" s="14"/>
      <c r="B112" s="61"/>
      <c r="C112" s="61"/>
      <c r="D112" s="14"/>
      <c r="E112" s="14"/>
      <c r="F112" s="14"/>
      <c r="G112" s="14"/>
      <c r="H112" s="14"/>
      <c r="I112" s="14"/>
      <c r="J112" s="14"/>
      <c r="K112" s="200"/>
      <c r="L112" s="14"/>
      <c r="M112" s="14"/>
      <c r="N112" s="14"/>
      <c r="O112" s="14"/>
      <c r="P112" s="14"/>
      <c r="Q112" s="14"/>
      <c r="R112" s="14"/>
    </row>
    <row r="113" spans="1:18" s="7" customFormat="1" ht="12.75">
      <c r="A113" s="14"/>
      <c r="B113" s="61"/>
      <c r="C113" s="61"/>
      <c r="D113" s="14"/>
      <c r="E113" s="14"/>
      <c r="F113" s="14"/>
      <c r="G113" s="14"/>
      <c r="H113" s="14"/>
      <c r="I113" s="14"/>
      <c r="J113" s="14"/>
      <c r="K113" s="200"/>
      <c r="L113" s="14"/>
      <c r="M113" s="14"/>
      <c r="N113" s="14"/>
      <c r="O113" s="14"/>
      <c r="P113" s="14"/>
      <c r="Q113" s="14"/>
      <c r="R113" s="14"/>
    </row>
    <row r="114" spans="1:18" s="22" customFormat="1" ht="12.75">
      <c r="A114" s="14"/>
      <c r="B114" s="61"/>
      <c r="C114" s="61"/>
      <c r="D114" s="14"/>
      <c r="E114" s="14"/>
      <c r="F114" s="14"/>
      <c r="G114" s="14"/>
      <c r="H114" s="14"/>
      <c r="I114" s="14"/>
      <c r="J114" s="14"/>
      <c r="K114" s="200"/>
      <c r="L114" s="14"/>
      <c r="M114" s="14"/>
      <c r="N114" s="14"/>
      <c r="O114" s="14"/>
      <c r="P114" s="14"/>
      <c r="Q114" s="14"/>
      <c r="R114" s="14"/>
    </row>
    <row r="115" spans="1:18" s="22" customFormat="1" ht="12.75">
      <c r="A115" s="14"/>
      <c r="B115" s="61"/>
      <c r="C115" s="61"/>
      <c r="D115" s="14"/>
      <c r="E115" s="14"/>
      <c r="F115" s="14"/>
      <c r="G115" s="14"/>
      <c r="H115" s="14"/>
      <c r="I115" s="14"/>
      <c r="J115" s="14"/>
      <c r="K115" s="200"/>
      <c r="L115" s="14"/>
      <c r="M115" s="14"/>
      <c r="N115" s="14"/>
      <c r="O115" s="14"/>
      <c r="P115" s="14"/>
      <c r="Q115" s="14"/>
      <c r="R115" s="14"/>
    </row>
    <row r="116" spans="1:18" s="7" customFormat="1" ht="12.75">
      <c r="A116" s="14"/>
      <c r="B116" s="61"/>
      <c r="C116" s="61"/>
      <c r="D116" s="14"/>
      <c r="E116" s="14"/>
      <c r="F116" s="14"/>
      <c r="G116" s="14"/>
      <c r="H116" s="14"/>
      <c r="I116" s="14"/>
      <c r="J116" s="14"/>
      <c r="K116" s="200"/>
      <c r="L116" s="14"/>
      <c r="M116" s="14"/>
      <c r="N116" s="14"/>
      <c r="O116" s="14"/>
      <c r="P116" s="14"/>
      <c r="Q116" s="14"/>
      <c r="R116" s="14"/>
    </row>
    <row r="117" spans="1:18" s="22" customFormat="1" ht="12.75">
      <c r="A117" s="14"/>
      <c r="B117" s="61"/>
      <c r="C117" s="61"/>
      <c r="D117" s="14"/>
      <c r="E117" s="14"/>
      <c r="F117" s="14"/>
      <c r="G117" s="14"/>
      <c r="H117" s="14"/>
      <c r="I117" s="14"/>
      <c r="J117" s="14"/>
      <c r="K117" s="200"/>
      <c r="L117" s="14"/>
      <c r="M117" s="14"/>
      <c r="N117" s="14"/>
      <c r="O117" s="14"/>
      <c r="P117" s="14"/>
      <c r="Q117" s="14"/>
      <c r="R117" s="14"/>
    </row>
    <row r="118" spans="1:18" s="22" customFormat="1" ht="12.75">
      <c r="A118" s="14"/>
      <c r="B118" s="61"/>
      <c r="C118" s="61"/>
      <c r="D118" s="14"/>
      <c r="E118" s="14"/>
      <c r="F118" s="14"/>
      <c r="G118" s="14"/>
      <c r="H118" s="14"/>
      <c r="I118" s="14"/>
      <c r="J118" s="14"/>
      <c r="K118" s="200"/>
      <c r="L118" s="14"/>
      <c r="M118" s="14"/>
      <c r="N118" s="14"/>
      <c r="O118" s="14"/>
      <c r="P118" s="14"/>
      <c r="Q118" s="14"/>
      <c r="R118" s="14"/>
    </row>
    <row r="119" spans="1:18" s="22" customFormat="1" ht="12.75">
      <c r="A119" s="14"/>
      <c r="B119" s="61"/>
      <c r="C119" s="61"/>
      <c r="D119" s="14"/>
      <c r="E119" s="14"/>
      <c r="F119" s="14"/>
      <c r="G119" s="14"/>
      <c r="H119" s="14"/>
      <c r="I119" s="14"/>
      <c r="J119" s="14"/>
      <c r="K119" s="200"/>
      <c r="L119" s="14"/>
      <c r="M119" s="14"/>
      <c r="N119" s="14"/>
      <c r="O119" s="14"/>
      <c r="P119" s="14"/>
      <c r="Q119" s="14"/>
      <c r="R119" s="14"/>
    </row>
    <row r="120" spans="1:18" s="22" customFormat="1" ht="12.75">
      <c r="A120" s="14"/>
      <c r="B120" s="61"/>
      <c r="C120" s="61"/>
      <c r="D120" s="14"/>
      <c r="E120" s="14"/>
      <c r="F120" s="14"/>
      <c r="G120" s="14"/>
      <c r="H120" s="14"/>
      <c r="I120" s="14"/>
      <c r="J120" s="14"/>
      <c r="K120" s="200"/>
      <c r="L120" s="14"/>
      <c r="M120" s="14"/>
      <c r="N120" s="14"/>
      <c r="O120" s="14"/>
      <c r="P120" s="14"/>
      <c r="Q120" s="14"/>
      <c r="R120" s="14"/>
    </row>
    <row r="121" spans="1:18" s="7" customFormat="1" ht="12.75">
      <c r="A121" s="14"/>
      <c r="B121" s="61"/>
      <c r="C121" s="61"/>
      <c r="D121" s="14"/>
      <c r="E121" s="14"/>
      <c r="F121" s="14"/>
      <c r="G121" s="14"/>
      <c r="H121" s="14"/>
      <c r="I121" s="14"/>
      <c r="J121" s="14"/>
      <c r="K121" s="200"/>
      <c r="L121" s="14"/>
      <c r="M121" s="14"/>
      <c r="N121" s="14"/>
      <c r="O121" s="14"/>
      <c r="P121" s="14"/>
      <c r="Q121" s="14"/>
      <c r="R121" s="14"/>
    </row>
    <row r="122" spans="1:18" s="22" customFormat="1" ht="12.75">
      <c r="A122" s="14"/>
      <c r="B122" s="61"/>
      <c r="C122" s="61"/>
      <c r="D122" s="14"/>
      <c r="E122" s="14"/>
      <c r="F122" s="14"/>
      <c r="G122" s="14"/>
      <c r="H122" s="14"/>
      <c r="I122" s="14"/>
      <c r="J122" s="14"/>
      <c r="K122" s="200"/>
      <c r="L122" s="14"/>
      <c r="M122" s="14"/>
      <c r="N122" s="14"/>
      <c r="O122" s="14"/>
      <c r="P122" s="14"/>
      <c r="Q122" s="14"/>
      <c r="R122" s="14"/>
    </row>
    <row r="123" spans="1:18" s="22" customFormat="1" ht="12.75">
      <c r="A123" s="14"/>
      <c r="B123" s="61"/>
      <c r="C123" s="61"/>
      <c r="D123" s="14"/>
      <c r="E123" s="14"/>
      <c r="F123" s="14"/>
      <c r="G123" s="14"/>
      <c r="H123" s="14"/>
      <c r="I123" s="14"/>
      <c r="J123" s="14"/>
      <c r="K123" s="200"/>
      <c r="L123" s="14"/>
      <c r="M123" s="14"/>
      <c r="N123" s="14"/>
      <c r="O123" s="14"/>
      <c r="P123" s="14"/>
      <c r="Q123" s="14"/>
      <c r="R123" s="14"/>
    </row>
    <row r="124" spans="1:18" s="22" customFormat="1" ht="12.75">
      <c r="A124" s="14"/>
      <c r="B124" s="61"/>
      <c r="C124" s="61"/>
      <c r="D124" s="14"/>
      <c r="E124" s="14"/>
      <c r="F124" s="14"/>
      <c r="G124" s="14"/>
      <c r="H124" s="14"/>
      <c r="I124" s="14"/>
      <c r="J124" s="14"/>
      <c r="K124" s="200"/>
      <c r="L124" s="14"/>
      <c r="M124" s="14"/>
      <c r="N124" s="14"/>
      <c r="O124" s="14"/>
      <c r="P124" s="14"/>
      <c r="Q124" s="14"/>
      <c r="R124" s="14"/>
    </row>
    <row r="125" spans="1:18" s="22" customFormat="1" ht="12.75">
      <c r="A125" s="14"/>
      <c r="B125" s="61"/>
      <c r="C125" s="61"/>
      <c r="D125" s="14"/>
      <c r="E125" s="14"/>
      <c r="F125" s="14"/>
      <c r="G125" s="14"/>
      <c r="H125" s="14"/>
      <c r="I125" s="14"/>
      <c r="J125" s="14"/>
      <c r="K125" s="200"/>
      <c r="L125" s="14"/>
      <c r="M125" s="14"/>
      <c r="N125" s="14"/>
      <c r="O125" s="14"/>
      <c r="P125" s="14"/>
      <c r="Q125" s="14"/>
      <c r="R125" s="14"/>
    </row>
    <row r="126" spans="1:18" s="22" customFormat="1" ht="12.75">
      <c r="A126" s="14"/>
      <c r="B126" s="61"/>
      <c r="C126" s="61"/>
      <c r="D126" s="14"/>
      <c r="E126" s="14"/>
      <c r="F126" s="14"/>
      <c r="G126" s="14"/>
      <c r="H126" s="14"/>
      <c r="I126" s="14"/>
      <c r="J126" s="14"/>
      <c r="K126" s="200"/>
      <c r="L126" s="14"/>
      <c r="M126" s="14"/>
      <c r="N126" s="14"/>
      <c r="O126" s="14"/>
      <c r="P126" s="14"/>
      <c r="Q126" s="14"/>
      <c r="R126" s="14"/>
    </row>
    <row r="127" spans="1:18" s="22" customFormat="1" ht="74.25" customHeight="1">
      <c r="A127" s="14"/>
      <c r="B127" s="61"/>
      <c r="C127" s="61"/>
      <c r="D127" s="14"/>
      <c r="E127" s="14"/>
      <c r="F127" s="14"/>
      <c r="G127" s="14"/>
      <c r="H127" s="14"/>
      <c r="I127" s="14"/>
      <c r="J127" s="14"/>
      <c r="K127" s="200"/>
      <c r="L127" s="14"/>
      <c r="M127" s="14"/>
      <c r="N127" s="14"/>
      <c r="O127" s="14"/>
      <c r="P127" s="14"/>
      <c r="Q127" s="14"/>
      <c r="R127" s="14"/>
    </row>
    <row r="128" spans="1:18" s="7" customFormat="1" ht="12.75">
      <c r="A128" s="14"/>
      <c r="B128" s="61"/>
      <c r="C128" s="61"/>
      <c r="D128" s="14"/>
      <c r="E128" s="14"/>
      <c r="F128" s="14"/>
      <c r="G128" s="14"/>
      <c r="H128" s="14"/>
      <c r="I128" s="14"/>
      <c r="J128" s="14"/>
      <c r="K128" s="200"/>
      <c r="L128" s="14"/>
      <c r="M128" s="14"/>
      <c r="N128" s="14"/>
      <c r="O128" s="14"/>
      <c r="P128" s="14"/>
      <c r="Q128" s="14"/>
      <c r="R128" s="14"/>
    </row>
    <row r="129" spans="1:18" s="22" customFormat="1" ht="12.75">
      <c r="A129" s="14"/>
      <c r="B129" s="61"/>
      <c r="C129" s="61"/>
      <c r="D129" s="14"/>
      <c r="E129" s="14"/>
      <c r="F129" s="14"/>
      <c r="G129" s="14"/>
      <c r="H129" s="14"/>
      <c r="I129" s="14"/>
      <c r="J129" s="14"/>
      <c r="K129" s="200"/>
      <c r="L129" s="14"/>
      <c r="M129" s="14"/>
      <c r="N129" s="14"/>
      <c r="O129" s="14"/>
      <c r="P129" s="14"/>
      <c r="Q129" s="14"/>
      <c r="R129" s="14"/>
    </row>
    <row r="130" spans="1:18" s="22" customFormat="1" ht="12.75">
      <c r="A130" s="14"/>
      <c r="B130" s="61"/>
      <c r="C130" s="61"/>
      <c r="D130" s="14"/>
      <c r="E130" s="14"/>
      <c r="F130" s="14"/>
      <c r="G130" s="14"/>
      <c r="H130" s="14"/>
      <c r="I130" s="14"/>
      <c r="J130" s="14"/>
      <c r="K130" s="200"/>
      <c r="L130" s="14"/>
      <c r="M130" s="14"/>
      <c r="N130" s="14"/>
      <c r="O130" s="14"/>
      <c r="P130" s="14"/>
      <c r="Q130" s="14"/>
      <c r="R130" s="14"/>
    </row>
    <row r="131" spans="1:18" s="7" customFormat="1" ht="12.75">
      <c r="A131" s="14"/>
      <c r="B131" s="61"/>
      <c r="C131" s="61"/>
      <c r="D131" s="14"/>
      <c r="E131" s="14"/>
      <c r="F131" s="14"/>
      <c r="G131" s="14"/>
      <c r="H131" s="14"/>
      <c r="I131" s="14"/>
      <c r="J131" s="14"/>
      <c r="K131" s="200"/>
      <c r="L131" s="14"/>
      <c r="M131" s="14"/>
      <c r="N131" s="14"/>
      <c r="O131" s="14"/>
      <c r="P131" s="14"/>
      <c r="Q131" s="14"/>
      <c r="R131" s="14"/>
    </row>
    <row r="132" spans="11:18" ht="12.75">
      <c r="K132" s="200"/>
      <c r="L132" s="14"/>
      <c r="M132" s="14"/>
      <c r="N132" s="14"/>
      <c r="O132" s="14"/>
      <c r="P132" s="14"/>
      <c r="Q132" s="14"/>
      <c r="R132" s="14"/>
    </row>
  </sheetData>
  <sheetProtection/>
  <mergeCells count="31">
    <mergeCell ref="N9:N11"/>
    <mergeCell ref="O9:O11"/>
    <mergeCell ref="K7:K11"/>
    <mergeCell ref="M8:M11"/>
    <mergeCell ref="N8:O8"/>
    <mergeCell ref="Q8:Q11"/>
    <mergeCell ref="R8:R11"/>
    <mergeCell ref="A2:R2"/>
    <mergeCell ref="D7:I7"/>
    <mergeCell ref="C6:I6"/>
    <mergeCell ref="L7:O7"/>
    <mergeCell ref="Q7:R7"/>
    <mergeCell ref="C7:C11"/>
    <mergeCell ref="A3:R3"/>
    <mergeCell ref="A4:R4"/>
    <mergeCell ref="F8:F11"/>
    <mergeCell ref="G8:G11"/>
    <mergeCell ref="H8:H11"/>
    <mergeCell ref="I8:I11"/>
    <mergeCell ref="K6:O6"/>
    <mergeCell ref="P6:R6"/>
    <mergeCell ref="P7:P11"/>
    <mergeCell ref="L8:L11"/>
    <mergeCell ref="A13:B13"/>
    <mergeCell ref="A14:B14"/>
    <mergeCell ref="A36:B36"/>
    <mergeCell ref="J6:J11"/>
    <mergeCell ref="A6:B11"/>
    <mergeCell ref="A12:B12"/>
    <mergeCell ref="E8:E11"/>
    <mergeCell ref="D8:D11"/>
  </mergeCells>
  <printOptions/>
  <pageMargins left="0.75" right="0.25" top="0.5" bottom="0.5" header="0" footer="0"/>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P84"/>
  <sheetViews>
    <sheetView view="pageLayout" zoomScale="115" zoomScalePageLayoutView="115" workbookViewId="0" topLeftCell="A64">
      <selection activeCell="C9" sqref="C9:J9"/>
    </sheetView>
  </sheetViews>
  <sheetFormatPr defaultColWidth="9.140625" defaultRowHeight="12.75"/>
  <cols>
    <col min="1" max="1" width="4.140625" style="32" customWidth="1"/>
    <col min="2" max="2" width="28.8515625" style="32" customWidth="1"/>
    <col min="3" max="3" width="12.8515625" style="100" bestFit="1" customWidth="1"/>
    <col min="4" max="4" width="10.140625" style="100" customWidth="1"/>
    <col min="5" max="5" width="11.421875" style="100" customWidth="1"/>
    <col min="6" max="6" width="11.57421875" style="100" customWidth="1"/>
    <col min="7" max="7" width="12.7109375" style="100" customWidth="1"/>
    <col min="8" max="8" width="13.140625" style="100" customWidth="1"/>
    <col min="9" max="9" width="11.57421875" style="100" bestFit="1" customWidth="1"/>
    <col min="10" max="10" width="13.57421875" style="100" customWidth="1"/>
    <col min="11" max="16384" width="9.140625" style="32" customWidth="1"/>
  </cols>
  <sheetData>
    <row r="1" spans="1:10" ht="18.75">
      <c r="A1" s="375" t="s">
        <v>7</v>
      </c>
      <c r="B1" s="375"/>
      <c r="C1" s="85"/>
      <c r="D1" s="85"/>
      <c r="E1" s="85"/>
      <c r="F1" s="85"/>
      <c r="G1" s="85"/>
      <c r="H1" s="85"/>
      <c r="I1" s="85"/>
      <c r="J1" s="85"/>
    </row>
    <row r="2" spans="1:10" ht="18.75" customHeight="1">
      <c r="A2" s="347" t="s">
        <v>115</v>
      </c>
      <c r="B2" s="347"/>
      <c r="C2" s="347"/>
      <c r="D2" s="347"/>
      <c r="E2" s="347"/>
      <c r="F2" s="347"/>
      <c r="G2" s="347"/>
      <c r="H2" s="347"/>
      <c r="I2" s="347"/>
      <c r="J2" s="347"/>
    </row>
    <row r="3" spans="1:10" ht="16.5">
      <c r="A3" s="423" t="s">
        <v>150</v>
      </c>
      <c r="B3" s="423"/>
      <c r="C3" s="423"/>
      <c r="D3" s="423"/>
      <c r="E3" s="423"/>
      <c r="F3" s="423"/>
      <c r="G3" s="423"/>
      <c r="H3" s="423"/>
      <c r="I3" s="423"/>
      <c r="J3" s="423"/>
    </row>
    <row r="4" spans="1:10" s="76" customFormat="1" ht="15.75">
      <c r="A4" s="424" t="s">
        <v>287</v>
      </c>
      <c r="B4" s="425"/>
      <c r="C4" s="425"/>
      <c r="D4" s="425"/>
      <c r="E4" s="425"/>
      <c r="F4" s="425"/>
      <c r="G4" s="425"/>
      <c r="H4" s="425"/>
      <c r="I4" s="425"/>
      <c r="J4" s="425"/>
    </row>
    <row r="5" spans="1:10" ht="12.75">
      <c r="A5" s="102"/>
      <c r="B5" s="102"/>
      <c r="C5" s="248"/>
      <c r="D5" s="248"/>
      <c r="E5" s="248"/>
      <c r="F5" s="248"/>
      <c r="G5" s="248"/>
      <c r="H5" s="248"/>
      <c r="I5" s="248"/>
      <c r="J5" s="248"/>
    </row>
    <row r="6" spans="1:10" ht="52.5" customHeight="1">
      <c r="A6" s="281"/>
      <c r="B6" s="282"/>
      <c r="C6" s="366" t="s">
        <v>271</v>
      </c>
      <c r="D6" s="366"/>
      <c r="E6" s="366" t="s">
        <v>165</v>
      </c>
      <c r="F6" s="366"/>
      <c r="G6" s="366" t="s">
        <v>166</v>
      </c>
      <c r="H6" s="366"/>
      <c r="I6" s="421" t="s">
        <v>90</v>
      </c>
      <c r="J6" s="422"/>
    </row>
    <row r="7" spans="1:10" ht="25.5">
      <c r="A7" s="285"/>
      <c r="B7" s="286"/>
      <c r="C7" s="191" t="s">
        <v>32</v>
      </c>
      <c r="D7" s="191" t="s">
        <v>33</v>
      </c>
      <c r="E7" s="191" t="s">
        <v>32</v>
      </c>
      <c r="F7" s="191" t="s">
        <v>33</v>
      </c>
      <c r="G7" s="191" t="s">
        <v>32</v>
      </c>
      <c r="H7" s="191" t="s">
        <v>33</v>
      </c>
      <c r="I7" s="191" t="s">
        <v>32</v>
      </c>
      <c r="J7" s="191" t="s">
        <v>33</v>
      </c>
    </row>
    <row r="8" spans="1:10" ht="12.75">
      <c r="A8" s="287" t="s">
        <v>40</v>
      </c>
      <c r="B8" s="288"/>
      <c r="C8" s="64">
        <v>1</v>
      </c>
      <c r="D8" s="64">
        <v>2</v>
      </c>
      <c r="E8" s="64">
        <v>3</v>
      </c>
      <c r="F8" s="64">
        <v>4</v>
      </c>
      <c r="G8" s="64">
        <v>5</v>
      </c>
      <c r="H8" s="64">
        <v>6</v>
      </c>
      <c r="I8" s="64">
        <v>7</v>
      </c>
      <c r="J8" s="64">
        <v>8</v>
      </c>
    </row>
    <row r="9" spans="1:10" ht="15" customHeight="1">
      <c r="A9" s="419" t="s">
        <v>54</v>
      </c>
      <c r="B9" s="420"/>
      <c r="C9" s="249">
        <f>C10+C14+C17</f>
        <v>162694</v>
      </c>
      <c r="D9" s="249">
        <f aca="true" t="shared" si="0" ref="D9:J9">D10+D14+D17</f>
        <v>162694</v>
      </c>
      <c r="E9" s="249">
        <f t="shared" si="0"/>
        <v>179</v>
      </c>
      <c r="F9" s="249">
        <f t="shared" si="0"/>
        <v>179</v>
      </c>
      <c r="G9" s="249">
        <f t="shared" si="0"/>
        <v>1742688</v>
      </c>
      <c r="H9" s="249">
        <f t="shared" si="0"/>
        <v>1711944</v>
      </c>
      <c r="I9" s="249">
        <f t="shared" si="0"/>
        <v>8334</v>
      </c>
      <c r="J9" s="249">
        <f t="shared" si="0"/>
        <v>8227</v>
      </c>
    </row>
    <row r="10" spans="1:10" ht="27" customHeight="1">
      <c r="A10" s="417" t="s">
        <v>91</v>
      </c>
      <c r="B10" s="418"/>
      <c r="C10" s="197">
        <f>SUM(C11:C13)</f>
        <v>162694</v>
      </c>
      <c r="D10" s="197">
        <f aca="true" t="shared" si="1" ref="D10:J10">SUM(D11:D13)</f>
        <v>162694</v>
      </c>
      <c r="E10" s="197">
        <f t="shared" si="1"/>
        <v>0</v>
      </c>
      <c r="F10" s="197">
        <f t="shared" si="1"/>
        <v>0</v>
      </c>
      <c r="G10" s="197">
        <f t="shared" si="1"/>
        <v>0</v>
      </c>
      <c r="H10" s="197">
        <f t="shared" si="1"/>
        <v>0</v>
      </c>
      <c r="I10" s="197">
        <f t="shared" si="1"/>
        <v>4697</v>
      </c>
      <c r="J10" s="197">
        <f t="shared" si="1"/>
        <v>4697</v>
      </c>
    </row>
    <row r="11" spans="1:10" ht="15.75">
      <c r="A11" s="114">
        <v>1</v>
      </c>
      <c r="B11" s="119" t="s">
        <v>253</v>
      </c>
      <c r="C11" s="75">
        <v>63349</v>
      </c>
      <c r="D11" s="75">
        <v>63349</v>
      </c>
      <c r="E11" s="249" t="s">
        <v>93</v>
      </c>
      <c r="F11" s="249" t="s">
        <v>93</v>
      </c>
      <c r="G11" s="249" t="s">
        <v>93</v>
      </c>
      <c r="H11" s="249" t="s">
        <v>93</v>
      </c>
      <c r="I11" s="75">
        <v>1314</v>
      </c>
      <c r="J11" s="75">
        <v>1314</v>
      </c>
    </row>
    <row r="12" spans="1:10" ht="15.75">
      <c r="A12" s="114">
        <v>2</v>
      </c>
      <c r="B12" s="119" t="s">
        <v>254</v>
      </c>
      <c r="C12" s="75">
        <v>53244</v>
      </c>
      <c r="D12" s="75">
        <v>53244</v>
      </c>
      <c r="E12" s="249" t="s">
        <v>93</v>
      </c>
      <c r="F12" s="249" t="s">
        <v>93</v>
      </c>
      <c r="G12" s="249" t="s">
        <v>93</v>
      </c>
      <c r="H12" s="249" t="s">
        <v>93</v>
      </c>
      <c r="I12" s="75">
        <v>1248</v>
      </c>
      <c r="J12" s="75">
        <v>1248</v>
      </c>
    </row>
    <row r="13" spans="1:10" ht="15.75">
      <c r="A13" s="114">
        <v>3</v>
      </c>
      <c r="B13" s="119" t="s">
        <v>255</v>
      </c>
      <c r="C13" s="75">
        <v>46101</v>
      </c>
      <c r="D13" s="75">
        <v>46101</v>
      </c>
      <c r="E13" s="249" t="s">
        <v>93</v>
      </c>
      <c r="F13" s="249" t="s">
        <v>93</v>
      </c>
      <c r="G13" s="249" t="s">
        <v>93</v>
      </c>
      <c r="H13" s="249" t="s">
        <v>93</v>
      </c>
      <c r="I13" s="75">
        <v>2135</v>
      </c>
      <c r="J13" s="75">
        <v>2135</v>
      </c>
    </row>
    <row r="14" spans="1:10" ht="15.75">
      <c r="A14" s="417" t="s">
        <v>92</v>
      </c>
      <c r="B14" s="418"/>
      <c r="C14" s="197"/>
      <c r="D14" s="197"/>
      <c r="E14" s="197">
        <f>E15+E16</f>
        <v>179</v>
      </c>
      <c r="F14" s="197">
        <f>F15+F16</f>
        <v>179</v>
      </c>
      <c r="G14" s="197"/>
      <c r="H14" s="197"/>
      <c r="I14" s="197">
        <f>I15+I16</f>
        <v>45</v>
      </c>
      <c r="J14" s="197">
        <f>J15+J16</f>
        <v>45</v>
      </c>
    </row>
    <row r="15" spans="1:10" ht="15.75">
      <c r="A15" s="117">
        <v>1</v>
      </c>
      <c r="B15" s="118" t="s">
        <v>127</v>
      </c>
      <c r="C15" s="196"/>
      <c r="D15" s="196"/>
      <c r="E15" s="75">
        <v>14</v>
      </c>
      <c r="F15" s="75">
        <v>14</v>
      </c>
      <c r="G15" s="196"/>
      <c r="H15" s="196"/>
      <c r="I15" s="75">
        <v>9</v>
      </c>
      <c r="J15" s="75">
        <v>9</v>
      </c>
    </row>
    <row r="16" spans="1:10" ht="15.75">
      <c r="A16" s="117">
        <v>2</v>
      </c>
      <c r="B16" s="118" t="s">
        <v>128</v>
      </c>
      <c r="C16" s="196"/>
      <c r="D16" s="196"/>
      <c r="E16" s="75">
        <v>165</v>
      </c>
      <c r="F16" s="75">
        <v>165</v>
      </c>
      <c r="G16" s="196"/>
      <c r="H16" s="196"/>
      <c r="I16" s="75">
        <v>36</v>
      </c>
      <c r="J16" s="75">
        <v>36</v>
      </c>
    </row>
    <row r="17" spans="1:10" ht="15.75">
      <c r="A17" s="115" t="s">
        <v>94</v>
      </c>
      <c r="B17" s="116"/>
      <c r="C17" s="197">
        <f aca="true" t="shared" si="2" ref="C17:J17">SUM(C18:C80)</f>
        <v>0</v>
      </c>
      <c r="D17" s="197">
        <f t="shared" si="2"/>
        <v>0</v>
      </c>
      <c r="E17" s="197">
        <f t="shared" si="2"/>
        <v>0</v>
      </c>
      <c r="F17" s="197">
        <f t="shared" si="2"/>
        <v>0</v>
      </c>
      <c r="G17" s="197">
        <f t="shared" si="2"/>
        <v>1742688</v>
      </c>
      <c r="H17" s="197">
        <f t="shared" si="2"/>
        <v>1711944</v>
      </c>
      <c r="I17" s="197">
        <f t="shared" si="2"/>
        <v>3592</v>
      </c>
      <c r="J17" s="197">
        <f t="shared" si="2"/>
        <v>3485</v>
      </c>
    </row>
    <row r="18" spans="1:10" ht="15.75">
      <c r="A18" s="108">
        <v>1</v>
      </c>
      <c r="B18" s="112" t="s">
        <v>167</v>
      </c>
      <c r="C18" s="249" t="s">
        <v>93</v>
      </c>
      <c r="D18" s="249" t="s">
        <v>93</v>
      </c>
      <c r="E18" s="249" t="s">
        <v>93</v>
      </c>
      <c r="F18" s="249" t="s">
        <v>93</v>
      </c>
      <c r="G18" s="122">
        <v>78917</v>
      </c>
      <c r="H18" s="122">
        <v>78917</v>
      </c>
      <c r="I18" s="122">
        <v>115</v>
      </c>
      <c r="J18" s="122">
        <v>115</v>
      </c>
    </row>
    <row r="19" spans="1:10" ht="15.75">
      <c r="A19" s="108">
        <v>2</v>
      </c>
      <c r="B19" s="112" t="s">
        <v>251</v>
      </c>
      <c r="C19" s="249" t="s">
        <v>93</v>
      </c>
      <c r="D19" s="249" t="s">
        <v>93</v>
      </c>
      <c r="E19" s="249" t="s">
        <v>93</v>
      </c>
      <c r="F19" s="249" t="s">
        <v>93</v>
      </c>
      <c r="G19" s="122">
        <v>32996</v>
      </c>
      <c r="H19" s="122">
        <v>32954</v>
      </c>
      <c r="I19" s="122">
        <v>56</v>
      </c>
      <c r="J19" s="122">
        <v>56</v>
      </c>
    </row>
    <row r="20" spans="1:10" ht="15.75">
      <c r="A20" s="108">
        <v>3</v>
      </c>
      <c r="B20" s="112" t="s">
        <v>168</v>
      </c>
      <c r="C20" s="249" t="s">
        <v>93</v>
      </c>
      <c r="D20" s="249" t="s">
        <v>93</v>
      </c>
      <c r="E20" s="249" t="s">
        <v>93</v>
      </c>
      <c r="F20" s="249" t="s">
        <v>93</v>
      </c>
      <c r="G20" s="122">
        <v>26659</v>
      </c>
      <c r="H20" s="122">
        <v>26659</v>
      </c>
      <c r="I20" s="247">
        <v>0</v>
      </c>
      <c r="J20" s="247">
        <v>0</v>
      </c>
    </row>
    <row r="21" spans="1:10" ht="15.75">
      <c r="A21" s="108">
        <v>4</v>
      </c>
      <c r="B21" s="112" t="s">
        <v>169</v>
      </c>
      <c r="C21" s="249" t="s">
        <v>93</v>
      </c>
      <c r="D21" s="249" t="s">
        <v>93</v>
      </c>
      <c r="E21" s="249" t="s">
        <v>93</v>
      </c>
      <c r="F21" s="249" t="s">
        <v>93</v>
      </c>
      <c r="G21" s="247">
        <v>0</v>
      </c>
      <c r="H21" s="247">
        <v>0</v>
      </c>
      <c r="I21" s="247">
        <v>0</v>
      </c>
      <c r="J21" s="247">
        <v>0</v>
      </c>
    </row>
    <row r="22" spans="1:10" ht="15.75">
      <c r="A22" s="108">
        <v>5</v>
      </c>
      <c r="B22" s="112" t="s">
        <v>170</v>
      </c>
      <c r="C22" s="249" t="s">
        <v>93</v>
      </c>
      <c r="D22" s="249" t="s">
        <v>93</v>
      </c>
      <c r="E22" s="249" t="s">
        <v>93</v>
      </c>
      <c r="F22" s="249" t="s">
        <v>93</v>
      </c>
      <c r="G22" s="122">
        <v>286</v>
      </c>
      <c r="H22" s="122">
        <v>286</v>
      </c>
      <c r="I22" s="122"/>
      <c r="J22" s="122"/>
    </row>
    <row r="23" spans="1:10" ht="15.75">
      <c r="A23" s="108">
        <v>6</v>
      </c>
      <c r="B23" s="112" t="s">
        <v>171</v>
      </c>
      <c r="C23" s="249" t="s">
        <v>93</v>
      </c>
      <c r="D23" s="249" t="s">
        <v>93</v>
      </c>
      <c r="E23" s="249" t="s">
        <v>93</v>
      </c>
      <c r="F23" s="249" t="s">
        <v>93</v>
      </c>
      <c r="G23" s="122">
        <v>17619</v>
      </c>
      <c r="H23" s="122"/>
      <c r="I23" s="122">
        <v>11</v>
      </c>
      <c r="J23" s="122"/>
    </row>
    <row r="24" spans="1:10" ht="15.75">
      <c r="A24" s="108">
        <v>7</v>
      </c>
      <c r="B24" s="112" t="s">
        <v>172</v>
      </c>
      <c r="C24" s="249" t="s">
        <v>93</v>
      </c>
      <c r="D24" s="249" t="s">
        <v>93</v>
      </c>
      <c r="E24" s="249" t="s">
        <v>93</v>
      </c>
      <c r="F24" s="249" t="s">
        <v>93</v>
      </c>
      <c r="G24" s="122">
        <v>65643</v>
      </c>
      <c r="H24" s="122">
        <v>65643</v>
      </c>
      <c r="I24" s="122">
        <v>18</v>
      </c>
      <c r="J24" s="122">
        <v>18</v>
      </c>
    </row>
    <row r="25" spans="1:10" ht="15.75">
      <c r="A25" s="108">
        <v>8</v>
      </c>
      <c r="B25" s="112" t="s">
        <v>173</v>
      </c>
      <c r="C25" s="249" t="s">
        <v>93</v>
      </c>
      <c r="D25" s="249" t="s">
        <v>93</v>
      </c>
      <c r="E25" s="249" t="s">
        <v>93</v>
      </c>
      <c r="F25" s="249" t="s">
        <v>93</v>
      </c>
      <c r="G25" s="122">
        <v>15084</v>
      </c>
      <c r="H25" s="122">
        <v>15084</v>
      </c>
      <c r="I25" s="122">
        <v>4</v>
      </c>
      <c r="J25" s="122">
        <v>4</v>
      </c>
    </row>
    <row r="26" spans="1:10" ht="15.75">
      <c r="A26" s="108">
        <v>9</v>
      </c>
      <c r="B26" s="112" t="s">
        <v>174</v>
      </c>
      <c r="C26" s="249" t="s">
        <v>93</v>
      </c>
      <c r="D26" s="249" t="s">
        <v>93</v>
      </c>
      <c r="E26" s="249" t="s">
        <v>93</v>
      </c>
      <c r="F26" s="249" t="s">
        <v>93</v>
      </c>
      <c r="G26" s="122">
        <v>27404</v>
      </c>
      <c r="H26" s="122">
        <v>27404</v>
      </c>
      <c r="I26" s="122">
        <v>68</v>
      </c>
      <c r="J26" s="122">
        <v>68</v>
      </c>
    </row>
    <row r="27" spans="1:10" ht="15.75">
      <c r="A27" s="108">
        <v>10</v>
      </c>
      <c r="B27" s="112" t="s">
        <v>175</v>
      </c>
      <c r="C27" s="249" t="s">
        <v>93</v>
      </c>
      <c r="D27" s="249" t="s">
        <v>93</v>
      </c>
      <c r="E27" s="249" t="s">
        <v>93</v>
      </c>
      <c r="F27" s="249" t="s">
        <v>93</v>
      </c>
      <c r="G27" s="122">
        <v>59672</v>
      </c>
      <c r="H27" s="122">
        <v>59672</v>
      </c>
      <c r="I27" s="247">
        <v>0</v>
      </c>
      <c r="J27" s="247">
        <v>0</v>
      </c>
    </row>
    <row r="28" spans="1:10" ht="15.75">
      <c r="A28" s="108">
        <v>11</v>
      </c>
      <c r="B28" s="112" t="s">
        <v>176</v>
      </c>
      <c r="C28" s="249" t="s">
        <v>93</v>
      </c>
      <c r="D28" s="249" t="s">
        <v>93</v>
      </c>
      <c r="E28" s="249" t="s">
        <v>93</v>
      </c>
      <c r="F28" s="249" t="s">
        <v>93</v>
      </c>
      <c r="G28" s="122">
        <v>28365</v>
      </c>
      <c r="H28" s="122">
        <v>28358</v>
      </c>
      <c r="I28" s="122">
        <v>148</v>
      </c>
      <c r="J28" s="122">
        <v>148</v>
      </c>
    </row>
    <row r="29" spans="1:10" ht="15.75">
      <c r="A29" s="108">
        <v>12</v>
      </c>
      <c r="B29" s="112" t="s">
        <v>177</v>
      </c>
      <c r="C29" s="249" t="s">
        <v>93</v>
      </c>
      <c r="D29" s="249" t="s">
        <v>93</v>
      </c>
      <c r="E29" s="249" t="s">
        <v>93</v>
      </c>
      <c r="F29" s="249" t="s">
        <v>93</v>
      </c>
      <c r="G29" s="122">
        <v>20928</v>
      </c>
      <c r="H29" s="122">
        <v>20928</v>
      </c>
      <c r="I29" s="122">
        <v>86</v>
      </c>
      <c r="J29" s="122">
        <v>86</v>
      </c>
    </row>
    <row r="30" spans="1:10" ht="15.75">
      <c r="A30" s="108">
        <v>13</v>
      </c>
      <c r="B30" s="112" t="s">
        <v>178</v>
      </c>
      <c r="C30" s="249" t="s">
        <v>93</v>
      </c>
      <c r="D30" s="249" t="s">
        <v>93</v>
      </c>
      <c r="E30" s="249" t="s">
        <v>93</v>
      </c>
      <c r="F30" s="249" t="s">
        <v>93</v>
      </c>
      <c r="G30" s="122">
        <v>16564</v>
      </c>
      <c r="H30" s="122">
        <v>16534</v>
      </c>
      <c r="I30" s="122">
        <v>18</v>
      </c>
      <c r="J30" s="122">
        <v>18</v>
      </c>
    </row>
    <row r="31" spans="1:10" ht="15.75">
      <c r="A31" s="108">
        <v>14</v>
      </c>
      <c r="B31" s="112" t="s">
        <v>179</v>
      </c>
      <c r="C31" s="249" t="s">
        <v>93</v>
      </c>
      <c r="D31" s="249" t="s">
        <v>93</v>
      </c>
      <c r="E31" s="249" t="s">
        <v>93</v>
      </c>
      <c r="F31" s="249" t="s">
        <v>93</v>
      </c>
      <c r="G31" s="122">
        <v>1809</v>
      </c>
      <c r="H31" s="122">
        <v>1809</v>
      </c>
      <c r="I31" s="247">
        <v>0</v>
      </c>
      <c r="J31" s="247">
        <v>0</v>
      </c>
    </row>
    <row r="32" spans="1:10" ht="15.75">
      <c r="A32" s="108">
        <v>15</v>
      </c>
      <c r="B32" s="112" t="s">
        <v>180</v>
      </c>
      <c r="C32" s="249" t="s">
        <v>93</v>
      </c>
      <c r="D32" s="249" t="s">
        <v>93</v>
      </c>
      <c r="E32" s="249" t="s">
        <v>93</v>
      </c>
      <c r="F32" s="249" t="s">
        <v>93</v>
      </c>
      <c r="G32" s="122">
        <v>28509</v>
      </c>
      <c r="H32" s="122">
        <v>28508</v>
      </c>
      <c r="I32" s="122">
        <v>66</v>
      </c>
      <c r="J32" s="122">
        <v>66</v>
      </c>
    </row>
    <row r="33" spans="1:10" ht="15.75">
      <c r="A33" s="108">
        <v>16</v>
      </c>
      <c r="B33" s="112" t="s">
        <v>181</v>
      </c>
      <c r="C33" s="249" t="s">
        <v>93</v>
      </c>
      <c r="D33" s="249" t="s">
        <v>93</v>
      </c>
      <c r="E33" s="249" t="s">
        <v>93</v>
      </c>
      <c r="F33" s="249" t="s">
        <v>93</v>
      </c>
      <c r="G33" s="122">
        <v>57696</v>
      </c>
      <c r="H33" s="122">
        <v>57696</v>
      </c>
      <c r="I33" s="122">
        <v>49</v>
      </c>
      <c r="J33" s="122">
        <v>49</v>
      </c>
    </row>
    <row r="34" spans="1:10" ht="15.75">
      <c r="A34" s="108">
        <v>17</v>
      </c>
      <c r="B34" s="112" t="s">
        <v>182</v>
      </c>
      <c r="C34" s="249" t="s">
        <v>93</v>
      </c>
      <c r="D34" s="249" t="s">
        <v>93</v>
      </c>
      <c r="E34" s="249" t="s">
        <v>93</v>
      </c>
      <c r="F34" s="249" t="s">
        <v>93</v>
      </c>
      <c r="G34" s="122">
        <v>24439</v>
      </c>
      <c r="H34" s="122">
        <v>24430</v>
      </c>
      <c r="I34" s="122">
        <v>35</v>
      </c>
      <c r="J34" s="122">
        <v>35</v>
      </c>
    </row>
    <row r="35" spans="1:10" ht="15.75">
      <c r="A35" s="108">
        <v>18</v>
      </c>
      <c r="B35" s="112" t="s">
        <v>183</v>
      </c>
      <c r="C35" s="249" t="s">
        <v>93</v>
      </c>
      <c r="D35" s="249" t="s">
        <v>93</v>
      </c>
      <c r="E35" s="249" t="s">
        <v>93</v>
      </c>
      <c r="F35" s="249" t="s">
        <v>93</v>
      </c>
      <c r="G35" s="122">
        <v>4356</v>
      </c>
      <c r="H35" s="122">
        <v>4356</v>
      </c>
      <c r="I35" s="247">
        <v>0</v>
      </c>
      <c r="J35" s="247">
        <v>0</v>
      </c>
    </row>
    <row r="36" spans="1:10" ht="15.75">
      <c r="A36" s="108">
        <v>19</v>
      </c>
      <c r="B36" s="113" t="s">
        <v>201</v>
      </c>
      <c r="C36" s="249" t="s">
        <v>93</v>
      </c>
      <c r="D36" s="249" t="s">
        <v>93</v>
      </c>
      <c r="E36" s="249" t="s">
        <v>93</v>
      </c>
      <c r="F36" s="249" t="s">
        <v>93</v>
      </c>
      <c r="G36" s="122">
        <v>49780</v>
      </c>
      <c r="H36" s="122">
        <v>49780</v>
      </c>
      <c r="I36" s="122">
        <v>45</v>
      </c>
      <c r="J36" s="122">
        <v>45</v>
      </c>
    </row>
    <row r="37" spans="1:10" ht="15.75">
      <c r="A37" s="108">
        <v>20</v>
      </c>
      <c r="B37" s="113" t="s">
        <v>202</v>
      </c>
      <c r="C37" s="249" t="s">
        <v>93</v>
      </c>
      <c r="D37" s="249" t="s">
        <v>93</v>
      </c>
      <c r="E37" s="249" t="s">
        <v>93</v>
      </c>
      <c r="F37" s="249" t="s">
        <v>93</v>
      </c>
      <c r="G37" s="122">
        <v>244255</v>
      </c>
      <c r="H37" s="122">
        <v>244255</v>
      </c>
      <c r="I37" s="122">
        <v>212</v>
      </c>
      <c r="J37" s="122">
        <v>212</v>
      </c>
    </row>
    <row r="38" spans="1:10" ht="15.75">
      <c r="A38" s="108">
        <v>21</v>
      </c>
      <c r="B38" s="113" t="s">
        <v>203</v>
      </c>
      <c r="C38" s="249" t="s">
        <v>93</v>
      </c>
      <c r="D38" s="249" t="s">
        <v>93</v>
      </c>
      <c r="E38" s="249" t="s">
        <v>93</v>
      </c>
      <c r="F38" s="249" t="s">
        <v>93</v>
      </c>
      <c r="G38" s="122">
        <v>44423</v>
      </c>
      <c r="H38" s="122">
        <v>44423</v>
      </c>
      <c r="I38" s="122">
        <v>214</v>
      </c>
      <c r="J38" s="122">
        <v>214</v>
      </c>
    </row>
    <row r="39" spans="1:10" ht="15.75">
      <c r="A39" s="108">
        <v>22</v>
      </c>
      <c r="B39" s="113" t="s">
        <v>204</v>
      </c>
      <c r="C39" s="249" t="s">
        <v>93</v>
      </c>
      <c r="D39" s="249" t="s">
        <v>93</v>
      </c>
      <c r="E39" s="249" t="s">
        <v>93</v>
      </c>
      <c r="F39" s="249" t="s">
        <v>93</v>
      </c>
      <c r="G39" s="122">
        <v>1056</v>
      </c>
      <c r="H39" s="122">
        <v>1056</v>
      </c>
      <c r="I39" s="122"/>
      <c r="J39" s="122"/>
    </row>
    <row r="40" spans="1:10" ht="15.75">
      <c r="A40" s="108">
        <v>23</v>
      </c>
      <c r="B40" s="113" t="s">
        <v>205</v>
      </c>
      <c r="C40" s="249" t="s">
        <v>93</v>
      </c>
      <c r="D40" s="249" t="s">
        <v>93</v>
      </c>
      <c r="E40" s="249" t="s">
        <v>93</v>
      </c>
      <c r="F40" s="249" t="s">
        <v>93</v>
      </c>
      <c r="G40" s="122">
        <v>7228</v>
      </c>
      <c r="H40" s="122">
        <v>7228</v>
      </c>
      <c r="I40" s="247">
        <v>0</v>
      </c>
      <c r="J40" s="247">
        <v>0</v>
      </c>
    </row>
    <row r="41" spans="1:10" ht="15.75">
      <c r="A41" s="108">
        <v>24</v>
      </c>
      <c r="B41" s="113" t="s">
        <v>206</v>
      </c>
      <c r="C41" s="249" t="s">
        <v>93</v>
      </c>
      <c r="D41" s="249" t="s">
        <v>93</v>
      </c>
      <c r="E41" s="249" t="s">
        <v>93</v>
      </c>
      <c r="F41" s="249" t="s">
        <v>93</v>
      </c>
      <c r="G41" s="122">
        <v>74046</v>
      </c>
      <c r="H41" s="122">
        <v>73718</v>
      </c>
      <c r="I41" s="122">
        <v>44</v>
      </c>
      <c r="J41" s="122">
        <v>44</v>
      </c>
    </row>
    <row r="42" spans="1:10" ht="15.75">
      <c r="A42" s="108">
        <v>25</v>
      </c>
      <c r="B42" s="113" t="s">
        <v>207</v>
      </c>
      <c r="C42" s="249" t="s">
        <v>93</v>
      </c>
      <c r="D42" s="249" t="s">
        <v>93</v>
      </c>
      <c r="E42" s="249" t="s">
        <v>93</v>
      </c>
      <c r="F42" s="249" t="s">
        <v>93</v>
      </c>
      <c r="G42" s="122">
        <v>1637</v>
      </c>
      <c r="H42" s="122">
        <v>1637</v>
      </c>
      <c r="I42" s="122">
        <v>2</v>
      </c>
      <c r="J42" s="122">
        <v>2</v>
      </c>
    </row>
    <row r="43" spans="1:10" ht="15.75">
      <c r="A43" s="108">
        <v>26</v>
      </c>
      <c r="B43" s="113" t="s">
        <v>208</v>
      </c>
      <c r="C43" s="249" t="s">
        <v>93</v>
      </c>
      <c r="D43" s="249" t="s">
        <v>93</v>
      </c>
      <c r="E43" s="249" t="s">
        <v>93</v>
      </c>
      <c r="F43" s="249" t="s">
        <v>93</v>
      </c>
      <c r="G43" s="122">
        <v>27517</v>
      </c>
      <c r="H43" s="122">
        <v>27436</v>
      </c>
      <c r="I43" s="122">
        <v>23</v>
      </c>
      <c r="J43" s="122">
        <v>23</v>
      </c>
    </row>
    <row r="44" spans="1:10" ht="15.75">
      <c r="A44" s="108">
        <v>27</v>
      </c>
      <c r="B44" s="113" t="s">
        <v>209</v>
      </c>
      <c r="C44" s="249" t="s">
        <v>93</v>
      </c>
      <c r="D44" s="249" t="s">
        <v>93</v>
      </c>
      <c r="E44" s="249" t="s">
        <v>93</v>
      </c>
      <c r="F44" s="249" t="s">
        <v>93</v>
      </c>
      <c r="G44" s="122">
        <v>34987</v>
      </c>
      <c r="H44" s="122">
        <v>34978</v>
      </c>
      <c r="I44" s="122">
        <v>2</v>
      </c>
      <c r="J44" s="122">
        <v>2</v>
      </c>
    </row>
    <row r="45" spans="1:10" ht="15.75">
      <c r="A45" s="108">
        <v>28</v>
      </c>
      <c r="B45" s="113" t="s">
        <v>210</v>
      </c>
      <c r="C45" s="249" t="s">
        <v>93</v>
      </c>
      <c r="D45" s="249" t="s">
        <v>93</v>
      </c>
      <c r="E45" s="249" t="s">
        <v>93</v>
      </c>
      <c r="F45" s="249" t="s">
        <v>93</v>
      </c>
      <c r="G45" s="122">
        <v>5813</v>
      </c>
      <c r="H45" s="122">
        <v>5813</v>
      </c>
      <c r="I45" s="247">
        <v>0</v>
      </c>
      <c r="J45" s="247">
        <v>0</v>
      </c>
    </row>
    <row r="46" spans="1:10" ht="15.75">
      <c r="A46" s="108">
        <v>29</v>
      </c>
      <c r="B46" s="113" t="s">
        <v>211</v>
      </c>
      <c r="C46" s="249" t="s">
        <v>93</v>
      </c>
      <c r="D46" s="249" t="s">
        <v>93</v>
      </c>
      <c r="E46" s="249" t="s">
        <v>93</v>
      </c>
      <c r="F46" s="249" t="s">
        <v>93</v>
      </c>
      <c r="G46" s="122">
        <v>8897</v>
      </c>
      <c r="H46" s="122">
        <v>8897</v>
      </c>
      <c r="I46" s="247">
        <v>0</v>
      </c>
      <c r="J46" s="247">
        <v>0</v>
      </c>
    </row>
    <row r="47" spans="1:10" ht="15.75">
      <c r="A47" s="108">
        <v>30</v>
      </c>
      <c r="B47" s="113" t="s">
        <v>212</v>
      </c>
      <c r="C47" s="249" t="s">
        <v>93</v>
      </c>
      <c r="D47" s="249" t="s">
        <v>93</v>
      </c>
      <c r="E47" s="249" t="s">
        <v>93</v>
      </c>
      <c r="F47" s="249" t="s">
        <v>93</v>
      </c>
      <c r="G47" s="122">
        <v>2577</v>
      </c>
      <c r="H47" s="122">
        <v>2577</v>
      </c>
      <c r="I47" s="122">
        <v>3</v>
      </c>
      <c r="J47" s="122">
        <v>3</v>
      </c>
    </row>
    <row r="48" spans="1:10" ht="15.75">
      <c r="A48" s="108">
        <v>31</v>
      </c>
      <c r="B48" s="113" t="s">
        <v>213</v>
      </c>
      <c r="C48" s="249" t="s">
        <v>93</v>
      </c>
      <c r="D48" s="249" t="s">
        <v>93</v>
      </c>
      <c r="E48" s="249" t="s">
        <v>93</v>
      </c>
      <c r="F48" s="249" t="s">
        <v>93</v>
      </c>
      <c r="G48" s="122">
        <v>10512</v>
      </c>
      <c r="H48" s="122">
        <v>10512</v>
      </c>
      <c r="I48" s="122">
        <v>3</v>
      </c>
      <c r="J48" s="122">
        <v>3</v>
      </c>
    </row>
    <row r="49" spans="1:10" ht="15.75">
      <c r="A49" s="108">
        <v>32</v>
      </c>
      <c r="B49" s="113" t="s">
        <v>214</v>
      </c>
      <c r="C49" s="249" t="s">
        <v>93</v>
      </c>
      <c r="D49" s="249" t="s">
        <v>93</v>
      </c>
      <c r="E49" s="249" t="s">
        <v>93</v>
      </c>
      <c r="F49" s="249" t="s">
        <v>93</v>
      </c>
      <c r="G49" s="122">
        <v>97690</v>
      </c>
      <c r="H49" s="122">
        <v>97690</v>
      </c>
      <c r="I49" s="122">
        <v>162</v>
      </c>
      <c r="J49" s="122">
        <v>162</v>
      </c>
    </row>
    <row r="50" spans="1:10" ht="15.75">
      <c r="A50" s="108">
        <v>33</v>
      </c>
      <c r="B50" s="113" t="s">
        <v>215</v>
      </c>
      <c r="C50" s="249" t="s">
        <v>93</v>
      </c>
      <c r="D50" s="249" t="s">
        <v>93</v>
      </c>
      <c r="E50" s="249" t="s">
        <v>93</v>
      </c>
      <c r="F50" s="249" t="s">
        <v>93</v>
      </c>
      <c r="G50" s="65">
        <v>12178</v>
      </c>
      <c r="H50" s="65">
        <v>12177</v>
      </c>
      <c r="I50" s="65">
        <v>13</v>
      </c>
      <c r="J50" s="65">
        <v>13</v>
      </c>
    </row>
    <row r="51" spans="1:10" ht="15.75">
      <c r="A51" s="108">
        <v>34</v>
      </c>
      <c r="B51" s="113" t="s">
        <v>216</v>
      </c>
      <c r="C51" s="249" t="s">
        <v>93</v>
      </c>
      <c r="D51" s="249" t="s">
        <v>93</v>
      </c>
      <c r="E51" s="249" t="s">
        <v>93</v>
      </c>
      <c r="F51" s="249" t="s">
        <v>93</v>
      </c>
      <c r="G51" s="122">
        <v>2183</v>
      </c>
      <c r="H51" s="122">
        <v>2183</v>
      </c>
      <c r="I51" s="247">
        <v>0</v>
      </c>
      <c r="J51" s="247">
        <v>0</v>
      </c>
    </row>
    <row r="52" spans="1:10" ht="15.75">
      <c r="A52" s="108">
        <v>35</v>
      </c>
      <c r="B52" s="113" t="s">
        <v>217</v>
      </c>
      <c r="C52" s="249" t="s">
        <v>93</v>
      </c>
      <c r="D52" s="249" t="s">
        <v>93</v>
      </c>
      <c r="E52" s="249" t="s">
        <v>93</v>
      </c>
      <c r="F52" s="249" t="s">
        <v>93</v>
      </c>
      <c r="G52" s="122">
        <v>68001</v>
      </c>
      <c r="H52" s="122">
        <v>68001</v>
      </c>
      <c r="I52" s="122">
        <v>81</v>
      </c>
      <c r="J52" s="122">
        <v>81</v>
      </c>
    </row>
    <row r="53" spans="1:10" ht="15.75">
      <c r="A53" s="108">
        <v>36</v>
      </c>
      <c r="B53" s="66" t="s">
        <v>218</v>
      </c>
      <c r="C53" s="249" t="s">
        <v>93</v>
      </c>
      <c r="D53" s="249" t="s">
        <v>93</v>
      </c>
      <c r="E53" s="249" t="s">
        <v>93</v>
      </c>
      <c r="F53" s="249" t="s">
        <v>93</v>
      </c>
      <c r="G53" s="122">
        <v>5310</v>
      </c>
      <c r="H53" s="122">
        <v>5309</v>
      </c>
      <c r="I53" s="247">
        <v>0</v>
      </c>
      <c r="J53" s="247">
        <v>0</v>
      </c>
    </row>
    <row r="54" spans="1:10" ht="15.75">
      <c r="A54" s="108">
        <v>37</v>
      </c>
      <c r="B54" s="66" t="s">
        <v>219</v>
      </c>
      <c r="C54" s="249" t="s">
        <v>93</v>
      </c>
      <c r="D54" s="249" t="s">
        <v>93</v>
      </c>
      <c r="E54" s="249" t="s">
        <v>93</v>
      </c>
      <c r="F54" s="249" t="s">
        <v>93</v>
      </c>
      <c r="G54" s="122">
        <v>8870</v>
      </c>
      <c r="H54" s="122">
        <v>8870</v>
      </c>
      <c r="I54" s="122">
        <v>45</v>
      </c>
      <c r="J54" s="122">
        <v>45</v>
      </c>
    </row>
    <row r="55" spans="1:10" ht="15.75">
      <c r="A55" s="108">
        <v>38</v>
      </c>
      <c r="B55" s="66" t="s">
        <v>220</v>
      </c>
      <c r="C55" s="249" t="s">
        <v>93</v>
      </c>
      <c r="D55" s="249" t="s">
        <v>93</v>
      </c>
      <c r="E55" s="249" t="s">
        <v>93</v>
      </c>
      <c r="F55" s="249" t="s">
        <v>93</v>
      </c>
      <c r="G55" s="122">
        <v>110332</v>
      </c>
      <c r="H55" s="122">
        <v>110332</v>
      </c>
      <c r="I55" s="122">
        <v>1</v>
      </c>
      <c r="J55" s="122">
        <v>1</v>
      </c>
    </row>
    <row r="56" spans="1:10" ht="15.75">
      <c r="A56" s="108">
        <v>39</v>
      </c>
      <c r="B56" s="66" t="s">
        <v>221</v>
      </c>
      <c r="C56" s="249" t="s">
        <v>93</v>
      </c>
      <c r="D56" s="249" t="s">
        <v>93</v>
      </c>
      <c r="E56" s="249" t="s">
        <v>93</v>
      </c>
      <c r="F56" s="249" t="s">
        <v>93</v>
      </c>
      <c r="G56" s="247">
        <v>0</v>
      </c>
      <c r="H56" s="247">
        <v>0</v>
      </c>
      <c r="I56" s="247">
        <v>0</v>
      </c>
      <c r="J56" s="247">
        <v>0</v>
      </c>
    </row>
    <row r="57" spans="1:10" ht="15.75">
      <c r="A57" s="108">
        <v>40</v>
      </c>
      <c r="B57" s="66" t="s">
        <v>222</v>
      </c>
      <c r="C57" s="249" t="s">
        <v>93</v>
      </c>
      <c r="D57" s="249" t="s">
        <v>93</v>
      </c>
      <c r="E57" s="249" t="s">
        <v>93</v>
      </c>
      <c r="F57" s="249" t="s">
        <v>93</v>
      </c>
      <c r="G57" s="122">
        <v>41950</v>
      </c>
      <c r="H57" s="122">
        <v>41950</v>
      </c>
      <c r="I57" s="122">
        <v>15</v>
      </c>
      <c r="J57" s="122">
        <v>15</v>
      </c>
    </row>
    <row r="58" spans="1:10" ht="15.75">
      <c r="A58" s="108">
        <v>41</v>
      </c>
      <c r="B58" s="66" t="s">
        <v>223</v>
      </c>
      <c r="C58" s="249" t="s">
        <v>93</v>
      </c>
      <c r="D58" s="249" t="s">
        <v>93</v>
      </c>
      <c r="E58" s="249" t="s">
        <v>93</v>
      </c>
      <c r="F58" s="249" t="s">
        <v>93</v>
      </c>
      <c r="G58" s="122"/>
      <c r="H58" s="122"/>
      <c r="I58" s="122"/>
      <c r="J58" s="122"/>
    </row>
    <row r="59" spans="1:10" ht="15.75">
      <c r="A59" s="108">
        <v>42</v>
      </c>
      <c r="B59" s="66" t="s">
        <v>224</v>
      </c>
      <c r="C59" s="249" t="s">
        <v>93</v>
      </c>
      <c r="D59" s="249" t="s">
        <v>93</v>
      </c>
      <c r="E59" s="249" t="s">
        <v>93</v>
      </c>
      <c r="F59" s="249" t="s">
        <v>93</v>
      </c>
      <c r="G59" s="122">
        <v>9337</v>
      </c>
      <c r="H59" s="122">
        <v>9337</v>
      </c>
      <c r="I59" s="122">
        <v>1</v>
      </c>
      <c r="J59" s="122">
        <v>1</v>
      </c>
    </row>
    <row r="60" spans="1:10" ht="15.75">
      <c r="A60" s="108">
        <v>43</v>
      </c>
      <c r="B60" s="66" t="s">
        <v>225</v>
      </c>
      <c r="C60" s="249" t="s">
        <v>93</v>
      </c>
      <c r="D60" s="249" t="s">
        <v>93</v>
      </c>
      <c r="E60" s="249" t="s">
        <v>93</v>
      </c>
      <c r="F60" s="249" t="s">
        <v>93</v>
      </c>
      <c r="G60" s="122">
        <v>9487</v>
      </c>
      <c r="H60" s="122">
        <v>9487</v>
      </c>
      <c r="I60" s="247">
        <v>0</v>
      </c>
      <c r="J60" s="247">
        <v>0</v>
      </c>
    </row>
    <row r="61" spans="1:10" ht="15.75">
      <c r="A61" s="108">
        <v>44</v>
      </c>
      <c r="B61" s="66" t="s">
        <v>226</v>
      </c>
      <c r="C61" s="249" t="s">
        <v>93</v>
      </c>
      <c r="D61" s="249" t="s">
        <v>93</v>
      </c>
      <c r="E61" s="249" t="s">
        <v>93</v>
      </c>
      <c r="F61" s="249" t="s">
        <v>93</v>
      </c>
      <c r="G61" s="122">
        <v>11694</v>
      </c>
      <c r="H61" s="122">
        <v>11691</v>
      </c>
      <c r="I61" s="122">
        <v>5</v>
      </c>
      <c r="J61" s="122">
        <v>5</v>
      </c>
    </row>
    <row r="62" spans="1:10" s="71" customFormat="1" ht="15.75">
      <c r="A62" s="108">
        <v>45</v>
      </c>
      <c r="B62" s="66" t="s">
        <v>231</v>
      </c>
      <c r="C62" s="249" t="s">
        <v>93</v>
      </c>
      <c r="D62" s="249" t="s">
        <v>93</v>
      </c>
      <c r="E62" s="249" t="s">
        <v>93</v>
      </c>
      <c r="F62" s="249" t="s">
        <v>93</v>
      </c>
      <c r="G62" s="122">
        <v>22213</v>
      </c>
      <c r="H62" s="122">
        <v>22213</v>
      </c>
      <c r="I62" s="247">
        <v>0</v>
      </c>
      <c r="J62" s="247">
        <v>0</v>
      </c>
    </row>
    <row r="63" spans="1:10" s="71" customFormat="1" ht="15.75">
      <c r="A63" s="108">
        <v>46</v>
      </c>
      <c r="B63" s="66" t="s">
        <v>232</v>
      </c>
      <c r="C63" s="249" t="s">
        <v>93</v>
      </c>
      <c r="D63" s="249" t="s">
        <v>93</v>
      </c>
      <c r="E63" s="249" t="s">
        <v>93</v>
      </c>
      <c r="F63" s="249" t="s">
        <v>93</v>
      </c>
      <c r="G63" s="122">
        <v>17856</v>
      </c>
      <c r="H63" s="122">
        <v>17848</v>
      </c>
      <c r="I63" s="122">
        <v>52</v>
      </c>
      <c r="J63" s="122">
        <v>52</v>
      </c>
    </row>
    <row r="64" spans="1:10" s="71" customFormat="1" ht="15.75">
      <c r="A64" s="108">
        <v>47</v>
      </c>
      <c r="B64" s="66" t="s">
        <v>233</v>
      </c>
      <c r="C64" s="249" t="s">
        <v>93</v>
      </c>
      <c r="D64" s="249" t="s">
        <v>93</v>
      </c>
      <c r="E64" s="249" t="s">
        <v>93</v>
      </c>
      <c r="F64" s="249" t="s">
        <v>93</v>
      </c>
      <c r="G64" s="122">
        <v>13817</v>
      </c>
      <c r="H64" s="122">
        <v>13817</v>
      </c>
      <c r="I64" s="122">
        <v>32</v>
      </c>
      <c r="J64" s="122">
        <v>32</v>
      </c>
    </row>
    <row r="65" spans="1:10" s="71" customFormat="1" ht="15.75">
      <c r="A65" s="108">
        <v>48</v>
      </c>
      <c r="B65" s="66" t="s">
        <v>234</v>
      </c>
      <c r="C65" s="249" t="s">
        <v>93</v>
      </c>
      <c r="D65" s="249" t="s">
        <v>93</v>
      </c>
      <c r="E65" s="249" t="s">
        <v>93</v>
      </c>
      <c r="F65" s="249" t="s">
        <v>93</v>
      </c>
      <c r="G65" s="122">
        <v>9238</v>
      </c>
      <c r="H65" s="122">
        <v>9238</v>
      </c>
      <c r="I65" s="122">
        <v>4</v>
      </c>
      <c r="J65" s="122">
        <v>4</v>
      </c>
    </row>
    <row r="66" spans="1:10" s="71" customFormat="1" ht="15.75">
      <c r="A66" s="108">
        <v>49</v>
      </c>
      <c r="B66" s="66" t="s">
        <v>235</v>
      </c>
      <c r="C66" s="249" t="s">
        <v>93</v>
      </c>
      <c r="D66" s="249" t="s">
        <v>93</v>
      </c>
      <c r="E66" s="249" t="s">
        <v>93</v>
      </c>
      <c r="F66" s="249" t="s">
        <v>93</v>
      </c>
      <c r="G66" s="122">
        <v>17895</v>
      </c>
      <c r="H66" s="122">
        <v>17879</v>
      </c>
      <c r="I66" s="122">
        <v>5</v>
      </c>
      <c r="J66" s="122">
        <v>5</v>
      </c>
    </row>
    <row r="67" spans="1:10" s="71" customFormat="1" ht="15.75">
      <c r="A67" s="108">
        <v>50</v>
      </c>
      <c r="B67" s="66" t="s">
        <v>236</v>
      </c>
      <c r="C67" s="249" t="s">
        <v>93</v>
      </c>
      <c r="D67" s="249" t="s">
        <v>93</v>
      </c>
      <c r="E67" s="249" t="s">
        <v>93</v>
      </c>
      <c r="F67" s="249" t="s">
        <v>93</v>
      </c>
      <c r="G67" s="122">
        <v>21110</v>
      </c>
      <c r="H67" s="122">
        <v>21110</v>
      </c>
      <c r="I67" s="122">
        <v>17</v>
      </c>
      <c r="J67" s="122">
        <v>17</v>
      </c>
    </row>
    <row r="68" spans="1:10" s="71" customFormat="1" ht="15.75">
      <c r="A68" s="108">
        <v>51</v>
      </c>
      <c r="B68" s="66" t="s">
        <v>237</v>
      </c>
      <c r="C68" s="249" t="s">
        <v>93</v>
      </c>
      <c r="D68" s="249" t="s">
        <v>93</v>
      </c>
      <c r="E68" s="249" t="s">
        <v>93</v>
      </c>
      <c r="F68" s="249" t="s">
        <v>93</v>
      </c>
      <c r="G68" s="122">
        <v>10610</v>
      </c>
      <c r="H68" s="122">
        <v>10610</v>
      </c>
      <c r="I68" s="247">
        <v>0</v>
      </c>
      <c r="J68" s="247">
        <v>0</v>
      </c>
    </row>
    <row r="69" spans="1:10" s="71" customFormat="1" ht="15.75">
      <c r="A69" s="108">
        <v>52</v>
      </c>
      <c r="B69" s="66" t="s">
        <v>238</v>
      </c>
      <c r="C69" s="249" t="s">
        <v>93</v>
      </c>
      <c r="D69" s="249" t="s">
        <v>93</v>
      </c>
      <c r="E69" s="249" t="s">
        <v>93</v>
      </c>
      <c r="F69" s="249" t="s">
        <v>93</v>
      </c>
      <c r="G69" s="122">
        <v>50632</v>
      </c>
      <c r="H69" s="122">
        <v>50630</v>
      </c>
      <c r="I69" s="122">
        <v>7</v>
      </c>
      <c r="J69" s="122">
        <v>7</v>
      </c>
    </row>
    <row r="70" spans="1:10" s="71" customFormat="1" ht="15.75">
      <c r="A70" s="108">
        <v>53</v>
      </c>
      <c r="B70" s="66" t="s">
        <v>239</v>
      </c>
      <c r="C70" s="249" t="s">
        <v>93</v>
      </c>
      <c r="D70" s="249" t="s">
        <v>93</v>
      </c>
      <c r="E70" s="249" t="s">
        <v>93</v>
      </c>
      <c r="F70" s="249" t="s">
        <v>93</v>
      </c>
      <c r="G70" s="122">
        <v>14755</v>
      </c>
      <c r="H70" s="122">
        <v>14755</v>
      </c>
      <c r="I70" s="122"/>
      <c r="J70" s="122"/>
    </row>
    <row r="71" spans="1:10" s="71" customFormat="1" ht="15.75">
      <c r="A71" s="108">
        <v>54</v>
      </c>
      <c r="B71" s="66" t="s">
        <v>240</v>
      </c>
      <c r="C71" s="249" t="s">
        <v>93</v>
      </c>
      <c r="D71" s="249" t="s">
        <v>93</v>
      </c>
      <c r="E71" s="249" t="s">
        <v>93</v>
      </c>
      <c r="F71" s="249" t="s">
        <v>93</v>
      </c>
      <c r="G71" s="247">
        <v>0</v>
      </c>
      <c r="H71" s="247">
        <v>0</v>
      </c>
      <c r="I71" s="247">
        <v>0</v>
      </c>
      <c r="J71" s="247">
        <v>0</v>
      </c>
    </row>
    <row r="72" spans="1:10" s="71" customFormat="1" ht="15.75">
      <c r="A72" s="108">
        <v>55</v>
      </c>
      <c r="B72" s="66" t="s">
        <v>241</v>
      </c>
      <c r="C72" s="249" t="s">
        <v>93</v>
      </c>
      <c r="D72" s="249" t="s">
        <v>93</v>
      </c>
      <c r="E72" s="249" t="s">
        <v>93</v>
      </c>
      <c r="F72" s="249" t="s">
        <v>93</v>
      </c>
      <c r="G72" s="122">
        <v>26454</v>
      </c>
      <c r="H72" s="122">
        <v>26454</v>
      </c>
      <c r="I72" s="122">
        <v>3</v>
      </c>
      <c r="J72" s="122">
        <v>3</v>
      </c>
    </row>
    <row r="73" spans="1:10" s="71" customFormat="1" ht="15.75">
      <c r="A73" s="108">
        <v>56</v>
      </c>
      <c r="B73" s="66" t="s">
        <v>242</v>
      </c>
      <c r="C73" s="249" t="s">
        <v>93</v>
      </c>
      <c r="D73" s="249" t="s">
        <v>93</v>
      </c>
      <c r="E73" s="249" t="s">
        <v>93</v>
      </c>
      <c r="F73" s="249" t="s">
        <v>93</v>
      </c>
      <c r="G73" s="122">
        <v>11239</v>
      </c>
      <c r="H73" s="122">
        <v>11239</v>
      </c>
      <c r="I73" s="122">
        <v>1</v>
      </c>
      <c r="J73" s="122">
        <v>1</v>
      </c>
    </row>
    <row r="74" spans="1:10" s="71" customFormat="1" ht="15.75">
      <c r="A74" s="108">
        <v>57</v>
      </c>
      <c r="B74" s="66" t="s">
        <v>243</v>
      </c>
      <c r="C74" s="249" t="s">
        <v>93</v>
      </c>
      <c r="D74" s="249" t="s">
        <v>93</v>
      </c>
      <c r="E74" s="249" t="s">
        <v>93</v>
      </c>
      <c r="F74" s="249" t="s">
        <v>93</v>
      </c>
      <c r="G74" s="122">
        <v>29960</v>
      </c>
      <c r="H74" s="122">
        <v>29960</v>
      </c>
      <c r="I74" s="122">
        <v>39</v>
      </c>
      <c r="J74" s="122">
        <v>39</v>
      </c>
    </row>
    <row r="75" spans="1:10" s="71" customFormat="1" ht="15.75">
      <c r="A75" s="108">
        <v>58</v>
      </c>
      <c r="B75" s="66" t="s">
        <v>244</v>
      </c>
      <c r="C75" s="249" t="s">
        <v>93</v>
      </c>
      <c r="D75" s="249" t="s">
        <v>93</v>
      </c>
      <c r="E75" s="249" t="s">
        <v>93</v>
      </c>
      <c r="F75" s="249" t="s">
        <v>93</v>
      </c>
      <c r="G75" s="122">
        <v>76201</v>
      </c>
      <c r="H75" s="122">
        <v>63614</v>
      </c>
      <c r="I75" s="122">
        <v>502</v>
      </c>
      <c r="J75" s="122">
        <v>406</v>
      </c>
    </row>
    <row r="76" spans="1:10" s="71" customFormat="1" ht="15.75">
      <c r="A76" s="108">
        <v>59</v>
      </c>
      <c r="B76" s="66" t="s">
        <v>245</v>
      </c>
      <c r="C76" s="249" t="s">
        <v>93</v>
      </c>
      <c r="D76" s="249" t="s">
        <v>93</v>
      </c>
      <c r="E76" s="249" t="s">
        <v>93</v>
      </c>
      <c r="F76" s="249" t="s">
        <v>93</v>
      </c>
      <c r="G76" s="122">
        <v>57</v>
      </c>
      <c r="H76" s="122">
        <v>57</v>
      </c>
      <c r="I76" s="247">
        <v>0</v>
      </c>
      <c r="J76" s="247">
        <v>0</v>
      </c>
    </row>
    <row r="77" spans="1:10" s="71" customFormat="1" ht="15.75">
      <c r="A77" s="108">
        <v>60</v>
      </c>
      <c r="B77" s="66" t="s">
        <v>246</v>
      </c>
      <c r="C77" s="249" t="s">
        <v>93</v>
      </c>
      <c r="D77" s="249" t="s">
        <v>93</v>
      </c>
      <c r="E77" s="249" t="s">
        <v>93</v>
      </c>
      <c r="F77" s="249" t="s">
        <v>93</v>
      </c>
      <c r="G77" s="122">
        <v>3160</v>
      </c>
      <c r="H77" s="122">
        <v>3160</v>
      </c>
      <c r="I77" s="122">
        <v>1382</v>
      </c>
      <c r="J77" s="122">
        <v>1382</v>
      </c>
    </row>
    <row r="78" spans="1:10" s="71" customFormat="1" ht="15.75">
      <c r="A78" s="108">
        <v>61</v>
      </c>
      <c r="B78" s="66" t="s">
        <v>247</v>
      </c>
      <c r="C78" s="249" t="s">
        <v>93</v>
      </c>
      <c r="D78" s="249" t="s">
        <v>93</v>
      </c>
      <c r="E78" s="249" t="s">
        <v>93</v>
      </c>
      <c r="F78" s="249" t="s">
        <v>93</v>
      </c>
      <c r="G78" s="122">
        <v>11244</v>
      </c>
      <c r="H78" s="122">
        <v>11244</v>
      </c>
      <c r="I78" s="122">
        <v>3</v>
      </c>
      <c r="J78" s="122">
        <v>3</v>
      </c>
    </row>
    <row r="79" spans="1:10" s="71" customFormat="1" ht="15.75">
      <c r="A79" s="108">
        <v>62</v>
      </c>
      <c r="B79" s="66" t="s">
        <v>248</v>
      </c>
      <c r="C79" s="249" t="s">
        <v>93</v>
      </c>
      <c r="D79" s="249" t="s">
        <v>93</v>
      </c>
      <c r="E79" s="249" t="s">
        <v>93</v>
      </c>
      <c r="F79" s="249" t="s">
        <v>93</v>
      </c>
      <c r="G79" s="122"/>
      <c r="H79" s="122"/>
      <c r="I79" s="122"/>
      <c r="J79" s="122"/>
    </row>
    <row r="80" spans="1:10" s="71" customFormat="1" ht="15.75">
      <c r="A80" s="108">
        <v>63</v>
      </c>
      <c r="B80" s="66" t="s">
        <v>249</v>
      </c>
      <c r="C80" s="249" t="s">
        <v>93</v>
      </c>
      <c r="D80" s="249" t="s">
        <v>93</v>
      </c>
      <c r="E80" s="249" t="s">
        <v>93</v>
      </c>
      <c r="F80" s="249" t="s">
        <v>93</v>
      </c>
      <c r="G80" s="122">
        <v>9541</v>
      </c>
      <c r="H80" s="122">
        <v>9541</v>
      </c>
      <c r="I80" s="122"/>
      <c r="J80" s="122"/>
    </row>
    <row r="81" spans="1:16" s="102" customFormat="1" ht="12.75">
      <c r="A81" s="32"/>
      <c r="B81" s="32"/>
      <c r="C81" s="32"/>
      <c r="D81" s="32"/>
      <c r="E81" s="32"/>
      <c r="F81" s="32"/>
      <c r="G81" s="32"/>
      <c r="H81" s="32"/>
      <c r="I81" s="32"/>
      <c r="J81" s="32"/>
      <c r="K81" s="32"/>
      <c r="L81" s="32"/>
      <c r="M81" s="32"/>
      <c r="N81" s="32"/>
      <c r="O81" s="101"/>
      <c r="P81" s="101"/>
    </row>
    <row r="82" spans="1:15" s="102" customFormat="1" ht="12.75">
      <c r="A82" s="32"/>
      <c r="B82" s="32" t="s">
        <v>252</v>
      </c>
      <c r="C82" s="32" t="s">
        <v>303</v>
      </c>
      <c r="D82" s="32"/>
      <c r="E82" s="32"/>
      <c r="F82" s="32"/>
      <c r="G82" s="32"/>
      <c r="H82" s="32"/>
      <c r="I82" s="32"/>
      <c r="J82" s="32"/>
      <c r="K82" s="32"/>
      <c r="L82" s="32"/>
      <c r="M82" s="32"/>
      <c r="N82" s="32"/>
      <c r="O82" s="101"/>
    </row>
    <row r="83" spans="1:15" s="102" customFormat="1" ht="12.75">
      <c r="A83" s="32"/>
      <c r="B83" s="32" t="s">
        <v>304</v>
      </c>
      <c r="C83" s="32" t="s">
        <v>305</v>
      </c>
      <c r="D83" s="32"/>
      <c r="E83" s="32"/>
      <c r="F83" s="32"/>
      <c r="G83" s="32"/>
      <c r="H83" s="32"/>
      <c r="I83" s="32"/>
      <c r="J83" s="32"/>
      <c r="K83" s="32"/>
      <c r="L83" s="32"/>
      <c r="M83" s="32"/>
      <c r="N83" s="32"/>
      <c r="O83" s="101"/>
    </row>
    <row r="84" spans="1:14" s="99" customFormat="1" ht="12.75">
      <c r="A84" s="32"/>
      <c r="B84" s="32" t="s">
        <v>278</v>
      </c>
      <c r="C84" s="32" t="s">
        <v>306</v>
      </c>
      <c r="E84" s="32"/>
      <c r="F84" s="32"/>
      <c r="G84" s="32"/>
      <c r="H84" s="32"/>
      <c r="I84" s="32"/>
      <c r="J84" s="32"/>
      <c r="K84" s="32"/>
      <c r="L84" s="32"/>
      <c r="M84" s="32"/>
      <c r="N84" s="32"/>
    </row>
    <row r="112" ht="22.5" customHeight="1"/>
  </sheetData>
  <sheetProtection/>
  <mergeCells count="13">
    <mergeCell ref="A1:B1"/>
    <mergeCell ref="A2:J2"/>
    <mergeCell ref="A3:J3"/>
    <mergeCell ref="A4:J4"/>
    <mergeCell ref="E6:F6"/>
    <mergeCell ref="C6:D6"/>
    <mergeCell ref="A14:B14"/>
    <mergeCell ref="A6:B7"/>
    <mergeCell ref="A8:B8"/>
    <mergeCell ref="A10:B10"/>
    <mergeCell ref="A9:B9"/>
    <mergeCell ref="I6:J6"/>
    <mergeCell ref="G6:H6"/>
  </mergeCells>
  <printOptions/>
  <pageMargins left="1" right="0.5" top="0.75" bottom="0.5" header="0" footer="0"/>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P107"/>
  <sheetViews>
    <sheetView tabSelected="1" zoomScalePageLayoutView="0" workbookViewId="0" topLeftCell="A19">
      <selection activeCell="C13" sqref="C13:P13"/>
    </sheetView>
  </sheetViews>
  <sheetFormatPr defaultColWidth="9.140625" defaultRowHeight="12.75"/>
  <cols>
    <col min="1" max="1" width="4.7109375" style="14" customWidth="1"/>
    <col min="2" max="2" width="17.8515625" style="14" customWidth="1"/>
    <col min="3" max="3" width="5.57421875" style="14" customWidth="1"/>
    <col min="4" max="4" width="6.28125" style="14" customWidth="1"/>
    <col min="5" max="5" width="5.28125" style="14" customWidth="1"/>
    <col min="6" max="6" width="9.28125" style="14" bestFit="1" customWidth="1"/>
    <col min="7" max="7" width="5.57421875" style="14" customWidth="1"/>
    <col min="8" max="8" width="7.7109375" style="14" customWidth="1"/>
    <col min="9" max="9" width="5.57421875" style="14" customWidth="1"/>
    <col min="10" max="10" width="9.8515625" style="14" customWidth="1"/>
    <col min="11" max="11" width="5.7109375" style="14" customWidth="1"/>
    <col min="12" max="12" width="9.28125" style="14" bestFit="1" customWidth="1"/>
    <col min="13" max="13" width="5.421875" style="14" customWidth="1"/>
    <col min="14" max="14" width="8.00390625" style="14" customWidth="1"/>
    <col min="15" max="15" width="13.421875" style="130" customWidth="1"/>
    <col min="16" max="16" width="16.421875" style="130" customWidth="1"/>
    <col min="17" max="16384" width="9.140625" style="14" customWidth="1"/>
  </cols>
  <sheetData>
    <row r="1" spans="2:16" s="57" customFormat="1" ht="18.75">
      <c r="B1" s="30" t="s">
        <v>7</v>
      </c>
      <c r="C1" s="30"/>
      <c r="D1" s="30"/>
      <c r="F1" s="34"/>
      <c r="O1" s="250"/>
      <c r="P1" s="250"/>
    </row>
    <row r="2" spans="4:16" s="57" customFormat="1" ht="18.75">
      <c r="D2" s="31"/>
      <c r="E2" s="31"/>
      <c r="F2" s="31"/>
      <c r="G2" s="31"/>
      <c r="I2" s="31" t="s">
        <v>135</v>
      </c>
      <c r="K2" s="31"/>
      <c r="L2" s="31"/>
      <c r="O2" s="250"/>
      <c r="P2" s="250"/>
    </row>
    <row r="3" spans="1:16" s="57" customFormat="1" ht="18.75">
      <c r="A3" s="384" t="s">
        <v>151</v>
      </c>
      <c r="B3" s="384"/>
      <c r="C3" s="384"/>
      <c r="D3" s="384"/>
      <c r="E3" s="384"/>
      <c r="F3" s="384"/>
      <c r="G3" s="384"/>
      <c r="H3" s="384"/>
      <c r="I3" s="384"/>
      <c r="J3" s="384"/>
      <c r="K3" s="384"/>
      <c r="L3" s="384"/>
      <c r="M3" s="384"/>
      <c r="N3" s="384"/>
      <c r="O3" s="384"/>
      <c r="P3" s="384"/>
    </row>
    <row r="4" spans="1:16" s="57" customFormat="1" ht="18.75">
      <c r="A4" s="326" t="s">
        <v>283</v>
      </c>
      <c r="B4" s="326"/>
      <c r="C4" s="326"/>
      <c r="D4" s="326"/>
      <c r="E4" s="326"/>
      <c r="F4" s="326"/>
      <c r="G4" s="326"/>
      <c r="H4" s="326"/>
      <c r="I4" s="326"/>
      <c r="J4" s="326"/>
      <c r="K4" s="326"/>
      <c r="L4" s="326"/>
      <c r="M4" s="326"/>
      <c r="N4" s="326"/>
      <c r="O4" s="326"/>
      <c r="P4" s="326"/>
    </row>
    <row r="8" spans="1:16" s="251" customFormat="1" ht="15" customHeight="1">
      <c r="A8" s="448"/>
      <c r="B8" s="448"/>
      <c r="C8" s="432" t="s">
        <v>116</v>
      </c>
      <c r="D8" s="434"/>
      <c r="E8" s="434"/>
      <c r="F8" s="434"/>
      <c r="G8" s="434"/>
      <c r="H8" s="434"/>
      <c r="I8" s="434"/>
      <c r="J8" s="434"/>
      <c r="K8" s="434"/>
      <c r="L8" s="434"/>
      <c r="M8" s="434"/>
      <c r="N8" s="433"/>
      <c r="O8" s="440" t="s">
        <v>117</v>
      </c>
      <c r="P8" s="441"/>
    </row>
    <row r="9" spans="1:16" s="251" customFormat="1" ht="23.25" customHeight="1">
      <c r="A9" s="449"/>
      <c r="B9" s="449"/>
      <c r="C9" s="437" t="s">
        <v>125</v>
      </c>
      <c r="D9" s="437" t="s">
        <v>126</v>
      </c>
      <c r="E9" s="432" t="s">
        <v>124</v>
      </c>
      <c r="F9" s="434"/>
      <c r="G9" s="434"/>
      <c r="H9" s="433"/>
      <c r="I9" s="432" t="s">
        <v>118</v>
      </c>
      <c r="J9" s="434"/>
      <c r="K9" s="434"/>
      <c r="L9" s="434"/>
      <c r="M9" s="434"/>
      <c r="N9" s="433"/>
      <c r="O9" s="442"/>
      <c r="P9" s="443"/>
    </row>
    <row r="10" spans="1:16" s="251" customFormat="1" ht="89.25" customHeight="1">
      <c r="A10" s="449"/>
      <c r="B10" s="449"/>
      <c r="C10" s="438"/>
      <c r="D10" s="438"/>
      <c r="E10" s="432" t="s">
        <v>119</v>
      </c>
      <c r="F10" s="433"/>
      <c r="G10" s="432" t="s">
        <v>120</v>
      </c>
      <c r="H10" s="433"/>
      <c r="I10" s="430" t="s">
        <v>121</v>
      </c>
      <c r="J10" s="431"/>
      <c r="K10" s="432" t="s">
        <v>122</v>
      </c>
      <c r="L10" s="433"/>
      <c r="M10" s="432" t="s">
        <v>123</v>
      </c>
      <c r="N10" s="433"/>
      <c r="O10" s="444"/>
      <c r="P10" s="445"/>
    </row>
    <row r="11" spans="1:16" s="251" customFormat="1" ht="63" customHeight="1">
      <c r="A11" s="449"/>
      <c r="B11" s="449"/>
      <c r="C11" s="439"/>
      <c r="D11" s="439"/>
      <c r="E11" s="63" t="s">
        <v>125</v>
      </c>
      <c r="F11" s="63" t="s">
        <v>126</v>
      </c>
      <c r="G11" s="63" t="s">
        <v>125</v>
      </c>
      <c r="H11" s="63" t="s">
        <v>126</v>
      </c>
      <c r="I11" s="63" t="s">
        <v>125</v>
      </c>
      <c r="J11" s="63" t="s">
        <v>126</v>
      </c>
      <c r="K11" s="63" t="s">
        <v>125</v>
      </c>
      <c r="L11" s="63" t="s">
        <v>126</v>
      </c>
      <c r="M11" s="63" t="s">
        <v>125</v>
      </c>
      <c r="N11" s="63" t="s">
        <v>126</v>
      </c>
      <c r="O11" s="180" t="s">
        <v>125</v>
      </c>
      <c r="P11" s="180" t="s">
        <v>126</v>
      </c>
    </row>
    <row r="12" spans="1:16" s="252" customFormat="1" ht="12.75">
      <c r="A12" s="446" t="s">
        <v>40</v>
      </c>
      <c r="B12" s="447"/>
      <c r="C12" s="64">
        <v>1</v>
      </c>
      <c r="D12" s="64">
        <v>2</v>
      </c>
      <c r="E12" s="64">
        <v>3</v>
      </c>
      <c r="F12" s="64">
        <v>4</v>
      </c>
      <c r="G12" s="64">
        <v>5</v>
      </c>
      <c r="H12" s="64">
        <v>6</v>
      </c>
      <c r="I12" s="64">
        <v>7</v>
      </c>
      <c r="J12" s="64">
        <v>8</v>
      </c>
      <c r="K12" s="64">
        <v>9</v>
      </c>
      <c r="L12" s="64">
        <v>10</v>
      </c>
      <c r="M12" s="64">
        <v>11</v>
      </c>
      <c r="N12" s="64">
        <v>12</v>
      </c>
      <c r="O12" s="64">
        <v>13</v>
      </c>
      <c r="P12" s="64">
        <v>14</v>
      </c>
    </row>
    <row r="13" spans="1:16" ht="42.75" customHeight="1">
      <c r="A13" s="435" t="s">
        <v>97</v>
      </c>
      <c r="B13" s="436"/>
      <c r="C13" s="253">
        <f aca="true" t="shared" si="0" ref="C13:P13">C14+C35</f>
        <v>31</v>
      </c>
      <c r="D13" s="253">
        <f t="shared" si="0"/>
        <v>14</v>
      </c>
      <c r="E13" s="253">
        <f t="shared" si="0"/>
        <v>24</v>
      </c>
      <c r="F13" s="253">
        <f t="shared" si="0"/>
        <v>12</v>
      </c>
      <c r="G13" s="253">
        <f t="shared" si="0"/>
        <v>4</v>
      </c>
      <c r="H13" s="268">
        <f t="shared" si="0"/>
        <v>0</v>
      </c>
      <c r="I13" s="268">
        <f t="shared" si="0"/>
        <v>0</v>
      </c>
      <c r="J13" s="268">
        <f t="shared" si="0"/>
        <v>0</v>
      </c>
      <c r="K13" s="253">
        <f t="shared" si="0"/>
        <v>10</v>
      </c>
      <c r="L13" s="253">
        <f t="shared" si="0"/>
        <v>5</v>
      </c>
      <c r="M13" s="253">
        <f t="shared" si="0"/>
        <v>19</v>
      </c>
      <c r="N13" s="253">
        <f t="shared" si="0"/>
        <v>9</v>
      </c>
      <c r="O13" s="253">
        <f t="shared" si="0"/>
        <v>38513093.201</v>
      </c>
      <c r="P13" s="253">
        <f t="shared" si="0"/>
        <v>3630379.201</v>
      </c>
    </row>
    <row r="14" spans="1:16" ht="28.5" customHeight="1">
      <c r="A14" s="428" t="s">
        <v>87</v>
      </c>
      <c r="B14" s="429"/>
      <c r="C14" s="254">
        <f aca="true" t="shared" si="1" ref="C14:P14">SUM(C15:C34)</f>
        <v>6</v>
      </c>
      <c r="D14" s="254">
        <f t="shared" si="1"/>
        <v>2</v>
      </c>
      <c r="E14" s="254">
        <f t="shared" si="1"/>
        <v>1</v>
      </c>
      <c r="F14" s="269">
        <f t="shared" si="1"/>
        <v>0</v>
      </c>
      <c r="G14" s="254">
        <f t="shared" si="1"/>
        <v>2</v>
      </c>
      <c r="H14" s="269">
        <f t="shared" si="1"/>
        <v>0</v>
      </c>
      <c r="I14" s="269">
        <f t="shared" si="1"/>
        <v>0</v>
      </c>
      <c r="J14" s="269">
        <f t="shared" si="1"/>
        <v>0</v>
      </c>
      <c r="K14" s="269">
        <f t="shared" si="1"/>
        <v>0</v>
      </c>
      <c r="L14" s="269">
        <f t="shared" si="1"/>
        <v>0</v>
      </c>
      <c r="M14" s="254">
        <f t="shared" si="1"/>
        <v>5</v>
      </c>
      <c r="N14" s="254">
        <f t="shared" si="1"/>
        <v>2</v>
      </c>
      <c r="O14" s="254">
        <f t="shared" si="1"/>
        <v>773855</v>
      </c>
      <c r="P14" s="254">
        <f t="shared" si="1"/>
        <v>773855</v>
      </c>
    </row>
    <row r="15" spans="1:16" ht="15.75">
      <c r="A15" s="106">
        <v>1</v>
      </c>
      <c r="B15" s="67" t="s">
        <v>258</v>
      </c>
      <c r="C15" s="148">
        <f>M15</f>
        <v>3</v>
      </c>
      <c r="D15" s="237">
        <f>N15</f>
        <v>2</v>
      </c>
      <c r="E15" s="68"/>
      <c r="F15" s="68"/>
      <c r="G15" s="68"/>
      <c r="H15" s="68"/>
      <c r="I15" s="68"/>
      <c r="J15" s="68"/>
      <c r="K15" s="68"/>
      <c r="L15" s="68"/>
      <c r="M15" s="68">
        <v>3</v>
      </c>
      <c r="N15" s="68">
        <v>2</v>
      </c>
      <c r="O15" s="68">
        <v>773855</v>
      </c>
      <c r="P15" s="68">
        <v>773855</v>
      </c>
    </row>
    <row r="16" spans="1:16" ht="15.75">
      <c r="A16" s="106">
        <v>2</v>
      </c>
      <c r="B16" s="67" t="s">
        <v>192</v>
      </c>
      <c r="C16" s="148"/>
      <c r="D16" s="237"/>
      <c r="E16" s="68"/>
      <c r="F16" s="68"/>
      <c r="G16" s="68"/>
      <c r="H16" s="68"/>
      <c r="I16" s="68"/>
      <c r="J16" s="68"/>
      <c r="K16" s="68"/>
      <c r="L16" s="68"/>
      <c r="M16" s="68"/>
      <c r="N16" s="68"/>
      <c r="O16" s="68"/>
      <c r="P16" s="68"/>
    </row>
    <row r="17" spans="1:16" ht="31.5">
      <c r="A17" s="106">
        <v>3</v>
      </c>
      <c r="B17" s="67" t="s">
        <v>193</v>
      </c>
      <c r="C17" s="148"/>
      <c r="D17" s="237"/>
      <c r="E17" s="68"/>
      <c r="F17" s="68"/>
      <c r="G17" s="68"/>
      <c r="H17" s="68"/>
      <c r="I17" s="68"/>
      <c r="J17" s="68"/>
      <c r="K17" s="68"/>
      <c r="L17" s="68"/>
      <c r="M17" s="68"/>
      <c r="N17" s="68"/>
      <c r="O17" s="68"/>
      <c r="P17" s="68"/>
    </row>
    <row r="18" spans="1:16" ht="31.5">
      <c r="A18" s="106">
        <v>4</v>
      </c>
      <c r="B18" s="67" t="s">
        <v>194</v>
      </c>
      <c r="C18" s="259">
        <f>E18+G18</f>
        <v>0</v>
      </c>
      <c r="D18" s="271">
        <f>F18+H18</f>
        <v>0</v>
      </c>
      <c r="E18" s="270">
        <v>0</v>
      </c>
      <c r="F18" s="270">
        <v>0</v>
      </c>
      <c r="G18" s="270">
        <v>0</v>
      </c>
      <c r="H18" s="270">
        <v>0</v>
      </c>
      <c r="I18" s="270">
        <v>0</v>
      </c>
      <c r="J18" s="270">
        <v>0</v>
      </c>
      <c r="K18" s="270">
        <v>0</v>
      </c>
      <c r="L18" s="270">
        <v>0</v>
      </c>
      <c r="M18" s="270">
        <v>0</v>
      </c>
      <c r="N18" s="270">
        <v>0</v>
      </c>
      <c r="O18" s="270">
        <v>0</v>
      </c>
      <c r="P18" s="270">
        <v>0</v>
      </c>
    </row>
    <row r="19" spans="1:16" ht="31.5">
      <c r="A19" s="106">
        <v>5</v>
      </c>
      <c r="B19" s="67" t="s">
        <v>195</v>
      </c>
      <c r="C19" s="259">
        <f>E19+G19</f>
        <v>0</v>
      </c>
      <c r="D19" s="271">
        <f>F19+H19</f>
        <v>0</v>
      </c>
      <c r="E19" s="270">
        <v>0</v>
      </c>
      <c r="F19" s="270">
        <v>0</v>
      </c>
      <c r="G19" s="270">
        <v>0</v>
      </c>
      <c r="H19" s="270">
        <v>0</v>
      </c>
      <c r="I19" s="270">
        <v>0</v>
      </c>
      <c r="J19" s="270">
        <v>0</v>
      </c>
      <c r="K19" s="270">
        <v>0</v>
      </c>
      <c r="L19" s="270">
        <v>0</v>
      </c>
      <c r="M19" s="270">
        <v>0</v>
      </c>
      <c r="N19" s="270">
        <v>0</v>
      </c>
      <c r="O19" s="270">
        <v>0</v>
      </c>
      <c r="P19" s="270">
        <v>0</v>
      </c>
    </row>
    <row r="20" spans="1:16" ht="31.5">
      <c r="A20" s="106">
        <v>6</v>
      </c>
      <c r="B20" s="67" t="s">
        <v>196</v>
      </c>
      <c r="C20" s="148"/>
      <c r="D20" s="237"/>
      <c r="E20" s="68"/>
      <c r="F20" s="68"/>
      <c r="G20" s="68"/>
      <c r="H20" s="68"/>
      <c r="I20" s="68"/>
      <c r="J20" s="68"/>
      <c r="K20" s="68"/>
      <c r="L20" s="68"/>
      <c r="M20" s="68"/>
      <c r="N20" s="68"/>
      <c r="O20" s="68"/>
      <c r="P20" s="68"/>
    </row>
    <row r="21" spans="1:16" ht="47.25">
      <c r="A21" s="106">
        <v>7</v>
      </c>
      <c r="B21" s="67" t="s">
        <v>197</v>
      </c>
      <c r="C21" s="148"/>
      <c r="D21" s="237"/>
      <c r="E21" s="68"/>
      <c r="F21" s="68"/>
      <c r="G21" s="68"/>
      <c r="H21" s="68"/>
      <c r="I21" s="68"/>
      <c r="J21" s="68"/>
      <c r="K21" s="68"/>
      <c r="L21" s="68"/>
      <c r="M21" s="68"/>
      <c r="N21" s="68"/>
      <c r="O21" s="68"/>
      <c r="P21" s="68"/>
    </row>
    <row r="22" spans="1:16" ht="15.75">
      <c r="A22" s="106">
        <v>8</v>
      </c>
      <c r="B22" s="67" t="s">
        <v>198</v>
      </c>
      <c r="C22" s="148"/>
      <c r="D22" s="237"/>
      <c r="E22" s="68"/>
      <c r="F22" s="68"/>
      <c r="G22" s="68"/>
      <c r="H22" s="68"/>
      <c r="I22" s="68"/>
      <c r="J22" s="68"/>
      <c r="K22" s="68"/>
      <c r="L22" s="68"/>
      <c r="M22" s="68"/>
      <c r="N22" s="68"/>
      <c r="O22" s="68"/>
      <c r="P22" s="68"/>
    </row>
    <row r="23" spans="1:16" ht="15.75">
      <c r="A23" s="106">
        <v>9</v>
      </c>
      <c r="B23" s="67" t="s">
        <v>199</v>
      </c>
      <c r="C23" s="148"/>
      <c r="D23" s="237"/>
      <c r="E23" s="68"/>
      <c r="F23" s="68"/>
      <c r="G23" s="68"/>
      <c r="H23" s="68"/>
      <c r="I23" s="68"/>
      <c r="J23" s="68"/>
      <c r="K23" s="68"/>
      <c r="L23" s="68"/>
      <c r="M23" s="68"/>
      <c r="N23" s="68"/>
      <c r="O23" s="68"/>
      <c r="P23" s="68"/>
    </row>
    <row r="24" spans="1:16" ht="47.25">
      <c r="A24" s="106">
        <v>10</v>
      </c>
      <c r="B24" s="67" t="s">
        <v>200</v>
      </c>
      <c r="C24" s="259">
        <f>E24+G24</f>
        <v>0</v>
      </c>
      <c r="D24" s="271">
        <f>F24+H24</f>
        <v>0</v>
      </c>
      <c r="E24" s="270">
        <v>0</v>
      </c>
      <c r="F24" s="270">
        <v>0</v>
      </c>
      <c r="G24" s="270">
        <v>0</v>
      </c>
      <c r="H24" s="270">
        <v>0</v>
      </c>
      <c r="I24" s="270">
        <v>0</v>
      </c>
      <c r="J24" s="270">
        <v>0</v>
      </c>
      <c r="K24" s="270">
        <v>0</v>
      </c>
      <c r="L24" s="270">
        <v>0</v>
      </c>
      <c r="M24" s="270">
        <v>0</v>
      </c>
      <c r="N24" s="270">
        <v>0</v>
      </c>
      <c r="O24" s="270">
        <v>0</v>
      </c>
      <c r="P24" s="270">
        <v>0</v>
      </c>
    </row>
    <row r="25" spans="1:16" ht="15.75">
      <c r="A25" s="106">
        <v>11</v>
      </c>
      <c r="B25" s="67" t="s">
        <v>229</v>
      </c>
      <c r="C25" s="259">
        <f>E25+G25</f>
        <v>0</v>
      </c>
      <c r="D25" s="271">
        <f>F25+H25</f>
        <v>0</v>
      </c>
      <c r="E25" s="270">
        <v>0</v>
      </c>
      <c r="F25" s="270">
        <v>0</v>
      </c>
      <c r="G25" s="270">
        <v>0</v>
      </c>
      <c r="H25" s="270">
        <v>0</v>
      </c>
      <c r="I25" s="270">
        <v>0</v>
      </c>
      <c r="J25" s="270">
        <v>0</v>
      </c>
      <c r="K25" s="270">
        <v>0</v>
      </c>
      <c r="L25" s="270">
        <v>0</v>
      </c>
      <c r="M25" s="270">
        <v>0</v>
      </c>
      <c r="N25" s="270">
        <v>0</v>
      </c>
      <c r="O25" s="270">
        <v>0</v>
      </c>
      <c r="P25" s="270">
        <v>0</v>
      </c>
    </row>
    <row r="26" spans="1:16" ht="15.75">
      <c r="A26" s="106">
        <v>12</v>
      </c>
      <c r="B26" s="255" t="s">
        <v>184</v>
      </c>
      <c r="C26" s="148">
        <f>E26+G26</f>
        <v>3</v>
      </c>
      <c r="D26" s="271"/>
      <c r="E26" s="68">
        <v>1</v>
      </c>
      <c r="F26" s="68"/>
      <c r="G26" s="68">
        <v>2</v>
      </c>
      <c r="H26" s="68"/>
      <c r="I26" s="270"/>
      <c r="J26" s="68"/>
      <c r="K26" s="68"/>
      <c r="L26" s="68"/>
      <c r="M26" s="68">
        <v>2</v>
      </c>
      <c r="N26" s="68"/>
      <c r="O26" s="68"/>
      <c r="P26" s="68"/>
    </row>
    <row r="27" spans="1:16" ht="31.5">
      <c r="A27" s="106">
        <v>13</v>
      </c>
      <c r="B27" s="255" t="s">
        <v>185</v>
      </c>
      <c r="C27" s="148"/>
      <c r="D27" s="237"/>
      <c r="E27" s="68"/>
      <c r="F27" s="68"/>
      <c r="G27" s="68"/>
      <c r="H27" s="68"/>
      <c r="I27" s="68"/>
      <c r="J27" s="68"/>
      <c r="K27" s="68"/>
      <c r="L27" s="68"/>
      <c r="M27" s="68"/>
      <c r="N27" s="68"/>
      <c r="O27" s="68"/>
      <c r="P27" s="68"/>
    </row>
    <row r="28" spans="1:16" ht="31.5">
      <c r="A28" s="106">
        <v>14</v>
      </c>
      <c r="B28" s="255" t="s">
        <v>186</v>
      </c>
      <c r="C28" s="148"/>
      <c r="D28" s="237"/>
      <c r="E28" s="68"/>
      <c r="F28" s="68"/>
      <c r="G28" s="68"/>
      <c r="H28" s="68"/>
      <c r="I28" s="68"/>
      <c r="J28" s="68"/>
      <c r="K28" s="68"/>
      <c r="L28" s="68"/>
      <c r="M28" s="68"/>
      <c r="N28" s="68"/>
      <c r="O28" s="68"/>
      <c r="P28" s="68"/>
    </row>
    <row r="29" spans="1:16" ht="31.5">
      <c r="A29" s="106">
        <v>15</v>
      </c>
      <c r="B29" s="255" t="s">
        <v>187</v>
      </c>
      <c r="C29" s="148"/>
      <c r="D29" s="237"/>
      <c r="E29" s="68"/>
      <c r="F29" s="68"/>
      <c r="G29" s="68"/>
      <c r="H29" s="68"/>
      <c r="I29" s="68"/>
      <c r="J29" s="68"/>
      <c r="K29" s="68"/>
      <c r="L29" s="68"/>
      <c r="M29" s="68"/>
      <c r="N29" s="68"/>
      <c r="O29" s="68"/>
      <c r="P29" s="68"/>
    </row>
    <row r="30" spans="1:16" ht="15.75">
      <c r="A30" s="106">
        <v>16</v>
      </c>
      <c r="B30" s="255" t="s">
        <v>188</v>
      </c>
      <c r="C30" s="148"/>
      <c r="D30" s="237"/>
      <c r="E30" s="68"/>
      <c r="F30" s="68"/>
      <c r="G30" s="68"/>
      <c r="H30" s="68"/>
      <c r="I30" s="68"/>
      <c r="J30" s="68"/>
      <c r="K30" s="68"/>
      <c r="L30" s="68"/>
      <c r="M30" s="68"/>
      <c r="N30" s="68"/>
      <c r="O30" s="68"/>
      <c r="P30" s="68"/>
    </row>
    <row r="31" spans="1:16" ht="15.75">
      <c r="A31" s="106">
        <v>17</v>
      </c>
      <c r="B31" s="67" t="s">
        <v>227</v>
      </c>
      <c r="C31" s="148"/>
      <c r="D31" s="237"/>
      <c r="E31" s="68"/>
      <c r="F31" s="68"/>
      <c r="G31" s="68"/>
      <c r="H31" s="68"/>
      <c r="I31" s="68"/>
      <c r="J31" s="68"/>
      <c r="K31" s="68"/>
      <c r="L31" s="68"/>
      <c r="M31" s="68"/>
      <c r="N31" s="68"/>
      <c r="O31" s="68"/>
      <c r="P31" s="68"/>
    </row>
    <row r="32" spans="1:16" ht="31.5">
      <c r="A32" s="106">
        <v>18</v>
      </c>
      <c r="B32" s="255" t="s">
        <v>189</v>
      </c>
      <c r="C32" s="148"/>
      <c r="D32" s="237"/>
      <c r="E32" s="68"/>
      <c r="F32" s="68"/>
      <c r="G32" s="68"/>
      <c r="H32" s="68"/>
      <c r="I32" s="68"/>
      <c r="J32" s="68"/>
      <c r="K32" s="68"/>
      <c r="L32" s="68"/>
      <c r="M32" s="68"/>
      <c r="N32" s="68"/>
      <c r="O32" s="68"/>
      <c r="P32" s="68"/>
    </row>
    <row r="33" spans="1:16" ht="31.5">
      <c r="A33" s="106">
        <v>19</v>
      </c>
      <c r="B33" s="255" t="s">
        <v>190</v>
      </c>
      <c r="C33" s="148"/>
      <c r="D33" s="237"/>
      <c r="E33" s="68"/>
      <c r="F33" s="68"/>
      <c r="G33" s="68"/>
      <c r="H33" s="68"/>
      <c r="I33" s="68"/>
      <c r="J33" s="68"/>
      <c r="K33" s="68"/>
      <c r="L33" s="68"/>
      <c r="M33" s="68"/>
      <c r="N33" s="68"/>
      <c r="O33" s="68"/>
      <c r="P33" s="68"/>
    </row>
    <row r="34" spans="1:16" ht="15.75">
      <c r="A34" s="106">
        <v>20</v>
      </c>
      <c r="B34" s="255" t="s">
        <v>191</v>
      </c>
      <c r="C34" s="148"/>
      <c r="D34" s="237"/>
      <c r="E34" s="68"/>
      <c r="F34" s="68"/>
      <c r="G34" s="68"/>
      <c r="H34" s="68"/>
      <c r="I34" s="68"/>
      <c r="J34" s="68"/>
      <c r="K34" s="68"/>
      <c r="L34" s="68"/>
      <c r="M34" s="68"/>
      <c r="N34" s="68"/>
      <c r="O34" s="68"/>
      <c r="P34" s="68"/>
    </row>
    <row r="35" spans="1:16" ht="15.75">
      <c r="A35" s="47" t="s">
        <v>98</v>
      </c>
      <c r="B35" s="47"/>
      <c r="C35" s="254">
        <f aca="true" t="shared" si="2" ref="C35:P35">SUM(C36:C98)</f>
        <v>25</v>
      </c>
      <c r="D35" s="254">
        <f t="shared" si="2"/>
        <v>12</v>
      </c>
      <c r="E35" s="254">
        <f t="shared" si="2"/>
        <v>23</v>
      </c>
      <c r="F35" s="254">
        <f t="shared" si="2"/>
        <v>12</v>
      </c>
      <c r="G35" s="254">
        <f t="shared" si="2"/>
        <v>2</v>
      </c>
      <c r="H35" s="269">
        <f t="shared" si="2"/>
        <v>0</v>
      </c>
      <c r="I35" s="269">
        <f t="shared" si="2"/>
        <v>0</v>
      </c>
      <c r="J35" s="269">
        <f t="shared" si="2"/>
        <v>0</v>
      </c>
      <c r="K35" s="254">
        <f t="shared" si="2"/>
        <v>10</v>
      </c>
      <c r="L35" s="254">
        <f t="shared" si="2"/>
        <v>5</v>
      </c>
      <c r="M35" s="254">
        <f t="shared" si="2"/>
        <v>14</v>
      </c>
      <c r="N35" s="254">
        <f t="shared" si="2"/>
        <v>7</v>
      </c>
      <c r="O35" s="254">
        <f t="shared" si="2"/>
        <v>37739238.201</v>
      </c>
      <c r="P35" s="254">
        <f t="shared" si="2"/>
        <v>2856524.201</v>
      </c>
    </row>
    <row r="36" spans="1:16" ht="15.75">
      <c r="A36" s="79">
        <v>1</v>
      </c>
      <c r="B36" s="80" t="s">
        <v>167</v>
      </c>
      <c r="C36" s="259">
        <f aca="true" t="shared" si="3" ref="C36:D40">E36+G36</f>
        <v>0</v>
      </c>
      <c r="D36" s="271">
        <f t="shared" si="3"/>
        <v>0</v>
      </c>
      <c r="E36" s="257">
        <v>0</v>
      </c>
      <c r="F36" s="257">
        <v>0</v>
      </c>
      <c r="G36" s="257">
        <v>0</v>
      </c>
      <c r="H36" s="257">
        <v>0</v>
      </c>
      <c r="I36" s="257">
        <v>0</v>
      </c>
      <c r="J36" s="257">
        <v>0</v>
      </c>
      <c r="K36" s="257">
        <v>0</v>
      </c>
      <c r="L36" s="257">
        <v>0</v>
      </c>
      <c r="M36" s="257">
        <v>0</v>
      </c>
      <c r="N36" s="257">
        <v>0</v>
      </c>
      <c r="O36" s="257">
        <v>0</v>
      </c>
      <c r="P36" s="257">
        <v>0</v>
      </c>
    </row>
    <row r="37" spans="1:16" ht="15.75">
      <c r="A37" s="79">
        <v>2</v>
      </c>
      <c r="B37" s="80" t="s">
        <v>251</v>
      </c>
      <c r="C37" s="259">
        <f t="shared" si="3"/>
        <v>0</v>
      </c>
      <c r="D37" s="271">
        <f t="shared" si="3"/>
        <v>0</v>
      </c>
      <c r="E37" s="257">
        <v>0</v>
      </c>
      <c r="F37" s="257">
        <v>0</v>
      </c>
      <c r="G37" s="257">
        <v>0</v>
      </c>
      <c r="H37" s="257">
        <v>0</v>
      </c>
      <c r="I37" s="257">
        <v>0</v>
      </c>
      <c r="J37" s="257">
        <v>0</v>
      </c>
      <c r="K37" s="257">
        <v>0</v>
      </c>
      <c r="L37" s="257">
        <v>0</v>
      </c>
      <c r="M37" s="257">
        <v>0</v>
      </c>
      <c r="N37" s="257">
        <v>0</v>
      </c>
      <c r="O37" s="257">
        <v>0</v>
      </c>
      <c r="P37" s="257">
        <v>0</v>
      </c>
    </row>
    <row r="38" spans="1:16" ht="15.75">
      <c r="A38" s="79">
        <v>3</v>
      </c>
      <c r="B38" s="80" t="s">
        <v>168</v>
      </c>
      <c r="C38" s="259">
        <f t="shared" si="3"/>
        <v>0</v>
      </c>
      <c r="D38" s="271">
        <f t="shared" si="3"/>
        <v>0</v>
      </c>
      <c r="E38" s="257">
        <v>0</v>
      </c>
      <c r="F38" s="257">
        <v>0</v>
      </c>
      <c r="G38" s="257">
        <v>0</v>
      </c>
      <c r="H38" s="257">
        <v>0</v>
      </c>
      <c r="I38" s="257">
        <v>0</v>
      </c>
      <c r="J38" s="257">
        <v>0</v>
      </c>
      <c r="K38" s="257">
        <v>0</v>
      </c>
      <c r="L38" s="257">
        <v>0</v>
      </c>
      <c r="M38" s="257">
        <v>0</v>
      </c>
      <c r="N38" s="257">
        <v>0</v>
      </c>
      <c r="O38" s="257">
        <v>0</v>
      </c>
      <c r="P38" s="257">
        <v>0</v>
      </c>
    </row>
    <row r="39" spans="1:16" ht="15.75">
      <c r="A39" s="79">
        <v>4</v>
      </c>
      <c r="B39" s="80" t="s">
        <v>169</v>
      </c>
      <c r="C39" s="259">
        <f t="shared" si="3"/>
        <v>0</v>
      </c>
      <c r="D39" s="271">
        <f t="shared" si="3"/>
        <v>0</v>
      </c>
      <c r="E39" s="257">
        <v>0</v>
      </c>
      <c r="F39" s="257">
        <v>0</v>
      </c>
      <c r="G39" s="257">
        <v>0</v>
      </c>
      <c r="H39" s="257">
        <v>0</v>
      </c>
      <c r="I39" s="257">
        <v>0</v>
      </c>
      <c r="J39" s="257">
        <v>0</v>
      </c>
      <c r="K39" s="257">
        <v>0</v>
      </c>
      <c r="L39" s="257">
        <v>0</v>
      </c>
      <c r="M39" s="257">
        <v>0</v>
      </c>
      <c r="N39" s="257">
        <v>0</v>
      </c>
      <c r="O39" s="257">
        <v>0</v>
      </c>
      <c r="P39" s="257">
        <v>0</v>
      </c>
    </row>
    <row r="40" spans="1:16" ht="15.75">
      <c r="A40" s="79">
        <v>5</v>
      </c>
      <c r="B40" s="80" t="s">
        <v>170</v>
      </c>
      <c r="C40" s="259">
        <f t="shared" si="3"/>
        <v>0</v>
      </c>
      <c r="D40" s="271">
        <f t="shared" si="3"/>
        <v>0</v>
      </c>
      <c r="E40" s="257">
        <v>0</v>
      </c>
      <c r="F40" s="257">
        <v>0</v>
      </c>
      <c r="G40" s="257">
        <v>0</v>
      </c>
      <c r="H40" s="257">
        <v>0</v>
      </c>
      <c r="I40" s="257">
        <v>0</v>
      </c>
      <c r="J40" s="257">
        <v>0</v>
      </c>
      <c r="K40" s="257">
        <v>0</v>
      </c>
      <c r="L40" s="257">
        <v>0</v>
      </c>
      <c r="M40" s="257">
        <v>0</v>
      </c>
      <c r="N40" s="257">
        <v>0</v>
      </c>
      <c r="O40" s="257">
        <v>0</v>
      </c>
      <c r="P40" s="257">
        <v>0</v>
      </c>
    </row>
    <row r="41" spans="1:16" ht="15.75">
      <c r="A41" s="79">
        <v>6</v>
      </c>
      <c r="B41" s="80" t="s">
        <v>171</v>
      </c>
      <c r="C41" s="65"/>
      <c r="D41" s="135"/>
      <c r="E41" s="135"/>
      <c r="F41" s="135"/>
      <c r="G41" s="135"/>
      <c r="H41" s="135"/>
      <c r="I41" s="135"/>
      <c r="J41" s="135"/>
      <c r="K41" s="135"/>
      <c r="L41" s="135"/>
      <c r="M41" s="135"/>
      <c r="N41" s="135"/>
      <c r="O41" s="135"/>
      <c r="P41" s="135"/>
    </row>
    <row r="42" spans="1:16" ht="15.75">
      <c r="A42" s="79">
        <v>7</v>
      </c>
      <c r="B42" s="80" t="s">
        <v>172</v>
      </c>
      <c r="C42" s="65">
        <f aca="true" t="shared" si="4" ref="C42:C62">E42+G42</f>
        <v>1</v>
      </c>
      <c r="D42" s="135">
        <f aca="true" t="shared" si="5" ref="D42:D62">F42+H42</f>
        <v>1</v>
      </c>
      <c r="E42" s="135">
        <v>1</v>
      </c>
      <c r="F42" s="74">
        <v>1</v>
      </c>
      <c r="G42" s="257">
        <v>0</v>
      </c>
      <c r="H42" s="257">
        <v>0</v>
      </c>
      <c r="I42" s="257">
        <v>0</v>
      </c>
      <c r="J42" s="257">
        <v>0</v>
      </c>
      <c r="K42" s="257">
        <v>0</v>
      </c>
      <c r="L42" s="257">
        <v>0</v>
      </c>
      <c r="M42" s="74">
        <v>1</v>
      </c>
      <c r="N42" s="74">
        <v>1</v>
      </c>
      <c r="O42" s="74">
        <v>124876</v>
      </c>
      <c r="P42" s="74">
        <v>124876</v>
      </c>
    </row>
    <row r="43" spans="1:16" ht="15.75">
      <c r="A43" s="79">
        <v>8</v>
      </c>
      <c r="B43" s="80" t="s">
        <v>173</v>
      </c>
      <c r="C43" s="259">
        <f t="shared" si="4"/>
        <v>0</v>
      </c>
      <c r="D43" s="271">
        <f t="shared" si="5"/>
        <v>0</v>
      </c>
      <c r="E43" s="257">
        <v>0</v>
      </c>
      <c r="F43" s="257">
        <v>0</v>
      </c>
      <c r="G43" s="257">
        <v>0</v>
      </c>
      <c r="H43" s="257">
        <v>0</v>
      </c>
      <c r="I43" s="257">
        <v>0</v>
      </c>
      <c r="J43" s="257">
        <v>0</v>
      </c>
      <c r="K43" s="257">
        <v>0</v>
      </c>
      <c r="L43" s="257">
        <v>0</v>
      </c>
      <c r="M43" s="257">
        <v>0</v>
      </c>
      <c r="N43" s="257">
        <v>0</v>
      </c>
      <c r="O43" s="257">
        <v>0</v>
      </c>
      <c r="P43" s="257">
        <v>0</v>
      </c>
    </row>
    <row r="44" spans="1:16" ht="15.75">
      <c r="A44" s="79">
        <v>9</v>
      </c>
      <c r="B44" s="80" t="s">
        <v>174</v>
      </c>
      <c r="C44" s="259">
        <f t="shared" si="4"/>
        <v>0</v>
      </c>
      <c r="D44" s="271">
        <f t="shared" si="5"/>
        <v>0</v>
      </c>
      <c r="E44" s="257">
        <v>0</v>
      </c>
      <c r="F44" s="257">
        <v>0</v>
      </c>
      <c r="G44" s="257">
        <v>0</v>
      </c>
      <c r="H44" s="257">
        <v>0</v>
      </c>
      <c r="I44" s="257">
        <v>0</v>
      </c>
      <c r="J44" s="257">
        <v>0</v>
      </c>
      <c r="K44" s="257">
        <v>0</v>
      </c>
      <c r="L44" s="257">
        <v>0</v>
      </c>
      <c r="M44" s="257">
        <v>0</v>
      </c>
      <c r="N44" s="257">
        <v>0</v>
      </c>
      <c r="O44" s="257">
        <v>0</v>
      </c>
      <c r="P44" s="257">
        <v>0</v>
      </c>
    </row>
    <row r="45" spans="1:16" ht="15.75">
      <c r="A45" s="79">
        <v>10</v>
      </c>
      <c r="B45" s="80" t="s">
        <v>175</v>
      </c>
      <c r="C45" s="259">
        <f t="shared" si="4"/>
        <v>0</v>
      </c>
      <c r="D45" s="271">
        <f t="shared" si="5"/>
        <v>0</v>
      </c>
      <c r="E45" s="257">
        <v>0</v>
      </c>
      <c r="F45" s="257">
        <v>0</v>
      </c>
      <c r="G45" s="257">
        <v>0</v>
      </c>
      <c r="H45" s="257">
        <v>0</v>
      </c>
      <c r="I45" s="257">
        <v>0</v>
      </c>
      <c r="J45" s="257">
        <v>0</v>
      </c>
      <c r="K45" s="257">
        <v>0</v>
      </c>
      <c r="L45" s="257">
        <v>0</v>
      </c>
      <c r="M45" s="257">
        <v>0</v>
      </c>
      <c r="N45" s="257">
        <v>0</v>
      </c>
      <c r="O45" s="257">
        <v>0</v>
      </c>
      <c r="P45" s="257">
        <v>0</v>
      </c>
    </row>
    <row r="46" spans="1:16" ht="15.75">
      <c r="A46" s="79">
        <v>11</v>
      </c>
      <c r="B46" s="80" t="s">
        <v>176</v>
      </c>
      <c r="C46" s="65">
        <f t="shared" si="4"/>
        <v>1</v>
      </c>
      <c r="D46" s="135">
        <f t="shared" si="5"/>
        <v>1</v>
      </c>
      <c r="E46" s="74">
        <v>1</v>
      </c>
      <c r="F46" s="74">
        <v>1</v>
      </c>
      <c r="G46" s="257">
        <v>0</v>
      </c>
      <c r="H46" s="257">
        <v>0</v>
      </c>
      <c r="I46" s="257">
        <v>0</v>
      </c>
      <c r="J46" s="257">
        <v>0</v>
      </c>
      <c r="K46" s="74">
        <v>1</v>
      </c>
      <c r="L46" s="74">
        <v>1</v>
      </c>
      <c r="M46" s="257">
        <v>0</v>
      </c>
      <c r="N46" s="257">
        <v>0</v>
      </c>
      <c r="O46" s="188">
        <v>688219</v>
      </c>
      <c r="P46" s="188">
        <v>688219</v>
      </c>
    </row>
    <row r="47" spans="1:16" ht="15.75">
      <c r="A47" s="79">
        <v>12</v>
      </c>
      <c r="B47" s="80" t="s">
        <v>177</v>
      </c>
      <c r="C47" s="65">
        <f t="shared" si="4"/>
        <v>1</v>
      </c>
      <c r="D47" s="271">
        <f t="shared" si="5"/>
        <v>0</v>
      </c>
      <c r="E47" s="74">
        <v>1</v>
      </c>
      <c r="F47" s="257">
        <v>0</v>
      </c>
      <c r="G47" s="74"/>
      <c r="H47" s="74"/>
      <c r="I47" s="74"/>
      <c r="J47" s="74"/>
      <c r="K47" s="74">
        <v>1</v>
      </c>
      <c r="L47" s="74"/>
      <c r="M47" s="74"/>
      <c r="N47" s="74"/>
      <c r="O47" s="74"/>
      <c r="P47" s="74"/>
    </row>
    <row r="48" spans="1:16" ht="15.75">
      <c r="A48" s="79">
        <v>13</v>
      </c>
      <c r="B48" s="80" t="s">
        <v>178</v>
      </c>
      <c r="C48" s="259">
        <f t="shared" si="4"/>
        <v>0</v>
      </c>
      <c r="D48" s="271">
        <f t="shared" si="5"/>
        <v>0</v>
      </c>
      <c r="E48" s="257">
        <v>0</v>
      </c>
      <c r="F48" s="257">
        <v>0</v>
      </c>
      <c r="G48" s="257">
        <v>0</v>
      </c>
      <c r="H48" s="257">
        <v>0</v>
      </c>
      <c r="I48" s="257">
        <v>0</v>
      </c>
      <c r="J48" s="257">
        <v>0</v>
      </c>
      <c r="K48" s="257">
        <v>0</v>
      </c>
      <c r="L48" s="257">
        <v>0</v>
      </c>
      <c r="M48" s="257">
        <v>0</v>
      </c>
      <c r="N48" s="257">
        <v>0</v>
      </c>
      <c r="O48" s="257">
        <v>0</v>
      </c>
      <c r="P48" s="257">
        <v>0</v>
      </c>
    </row>
    <row r="49" spans="1:16" ht="15.75">
      <c r="A49" s="79">
        <v>14</v>
      </c>
      <c r="B49" s="80" t="s">
        <v>179</v>
      </c>
      <c r="C49" s="259">
        <f t="shared" si="4"/>
        <v>0</v>
      </c>
      <c r="D49" s="271">
        <f t="shared" si="5"/>
        <v>0</v>
      </c>
      <c r="E49" s="257">
        <v>0</v>
      </c>
      <c r="F49" s="257">
        <v>0</v>
      </c>
      <c r="G49" s="257">
        <v>0</v>
      </c>
      <c r="H49" s="257">
        <v>0</v>
      </c>
      <c r="I49" s="257">
        <v>0</v>
      </c>
      <c r="J49" s="257">
        <v>0</v>
      </c>
      <c r="K49" s="257">
        <v>0</v>
      </c>
      <c r="L49" s="257">
        <v>0</v>
      </c>
      <c r="M49" s="257">
        <v>0</v>
      </c>
      <c r="N49" s="257">
        <v>0</v>
      </c>
      <c r="O49" s="257">
        <v>0</v>
      </c>
      <c r="P49" s="257">
        <v>0</v>
      </c>
    </row>
    <row r="50" spans="1:16" ht="15.75">
      <c r="A50" s="79">
        <v>15</v>
      </c>
      <c r="B50" s="80" t="s">
        <v>180</v>
      </c>
      <c r="C50" s="259">
        <f t="shared" si="4"/>
        <v>0</v>
      </c>
      <c r="D50" s="271">
        <f t="shared" si="5"/>
        <v>0</v>
      </c>
      <c r="E50" s="257">
        <v>0</v>
      </c>
      <c r="F50" s="257">
        <v>0</v>
      </c>
      <c r="G50" s="257">
        <v>0</v>
      </c>
      <c r="H50" s="257">
        <v>0</v>
      </c>
      <c r="I50" s="257">
        <v>0</v>
      </c>
      <c r="J50" s="257">
        <v>0</v>
      </c>
      <c r="K50" s="257">
        <v>0</v>
      </c>
      <c r="L50" s="257">
        <v>0</v>
      </c>
      <c r="M50" s="257">
        <v>0</v>
      </c>
      <c r="N50" s="257">
        <v>0</v>
      </c>
      <c r="O50" s="257">
        <v>0</v>
      </c>
      <c r="P50" s="257">
        <v>0</v>
      </c>
    </row>
    <row r="51" spans="1:16" ht="15.75">
      <c r="A51" s="79">
        <v>16</v>
      </c>
      <c r="B51" s="80" t="s">
        <v>181</v>
      </c>
      <c r="C51" s="65">
        <f t="shared" si="4"/>
        <v>1</v>
      </c>
      <c r="D51" s="135">
        <f t="shared" si="5"/>
        <v>1</v>
      </c>
      <c r="E51" s="74">
        <v>1</v>
      </c>
      <c r="F51" s="74">
        <v>1</v>
      </c>
      <c r="G51" s="135"/>
      <c r="H51" s="74"/>
      <c r="I51" s="74"/>
      <c r="J51" s="74"/>
      <c r="K51" s="74"/>
      <c r="L51" s="74"/>
      <c r="M51" s="135">
        <v>1</v>
      </c>
      <c r="N51" s="74">
        <v>1</v>
      </c>
      <c r="O51" s="74">
        <v>128560</v>
      </c>
      <c r="P51" s="74">
        <v>128560</v>
      </c>
    </row>
    <row r="52" spans="1:16" ht="15.75">
      <c r="A52" s="79">
        <v>17</v>
      </c>
      <c r="B52" s="80" t="s">
        <v>182</v>
      </c>
      <c r="C52" s="259">
        <f t="shared" si="4"/>
        <v>0</v>
      </c>
      <c r="D52" s="271">
        <f t="shared" si="5"/>
        <v>0</v>
      </c>
      <c r="E52" s="257">
        <v>0</v>
      </c>
      <c r="F52" s="257">
        <v>0</v>
      </c>
      <c r="G52" s="257">
        <v>0</v>
      </c>
      <c r="H52" s="257">
        <v>0</v>
      </c>
      <c r="I52" s="257">
        <v>0</v>
      </c>
      <c r="J52" s="257">
        <v>0</v>
      </c>
      <c r="K52" s="257">
        <v>0</v>
      </c>
      <c r="L52" s="257">
        <v>0</v>
      </c>
      <c r="M52" s="257">
        <v>0</v>
      </c>
      <c r="N52" s="257">
        <v>0</v>
      </c>
      <c r="O52" s="257">
        <v>0</v>
      </c>
      <c r="P52" s="257">
        <v>0</v>
      </c>
    </row>
    <row r="53" spans="1:16" ht="15.75">
      <c r="A53" s="79">
        <v>18</v>
      </c>
      <c r="B53" s="80" t="s">
        <v>183</v>
      </c>
      <c r="C53" s="259">
        <f t="shared" si="4"/>
        <v>0</v>
      </c>
      <c r="D53" s="271">
        <f t="shared" si="5"/>
        <v>0</v>
      </c>
      <c r="E53" s="257">
        <v>0</v>
      </c>
      <c r="F53" s="257">
        <v>0</v>
      </c>
      <c r="G53" s="257">
        <v>0</v>
      </c>
      <c r="H53" s="257">
        <v>0</v>
      </c>
      <c r="I53" s="257">
        <v>0</v>
      </c>
      <c r="J53" s="257">
        <v>0</v>
      </c>
      <c r="K53" s="257">
        <v>0</v>
      </c>
      <c r="L53" s="257">
        <v>0</v>
      </c>
      <c r="M53" s="257">
        <v>0</v>
      </c>
      <c r="N53" s="257">
        <v>0</v>
      </c>
      <c r="O53" s="257">
        <v>0</v>
      </c>
      <c r="P53" s="257">
        <v>0</v>
      </c>
    </row>
    <row r="54" spans="1:16" ht="15.75">
      <c r="A54" s="79">
        <v>19</v>
      </c>
      <c r="B54" s="81" t="s">
        <v>201</v>
      </c>
      <c r="C54" s="65">
        <f t="shared" si="4"/>
        <v>3</v>
      </c>
      <c r="D54" s="271">
        <f t="shared" si="5"/>
        <v>0</v>
      </c>
      <c r="E54" s="135">
        <v>2</v>
      </c>
      <c r="F54" s="257">
        <v>0</v>
      </c>
      <c r="G54" s="135">
        <v>1</v>
      </c>
      <c r="H54" s="257">
        <v>0</v>
      </c>
      <c r="I54" s="135"/>
      <c r="J54" s="135"/>
      <c r="K54" s="135"/>
      <c r="L54" s="135"/>
      <c r="M54" s="135">
        <v>3</v>
      </c>
      <c r="N54" s="257">
        <v>0</v>
      </c>
      <c r="O54" s="135">
        <v>5848639</v>
      </c>
      <c r="P54" s="135">
        <v>0</v>
      </c>
    </row>
    <row r="55" spans="1:16" ht="15.75">
      <c r="A55" s="79">
        <v>20</v>
      </c>
      <c r="B55" s="81" t="s">
        <v>202</v>
      </c>
      <c r="C55" s="259">
        <f t="shared" si="4"/>
        <v>0</v>
      </c>
      <c r="D55" s="271">
        <f t="shared" si="5"/>
        <v>0</v>
      </c>
      <c r="E55" s="257">
        <v>0</v>
      </c>
      <c r="F55" s="257">
        <v>0</v>
      </c>
      <c r="G55" s="257">
        <v>0</v>
      </c>
      <c r="H55" s="257">
        <v>0</v>
      </c>
      <c r="I55" s="257">
        <v>0</v>
      </c>
      <c r="J55" s="257">
        <v>0</v>
      </c>
      <c r="K55" s="257">
        <v>0</v>
      </c>
      <c r="L55" s="257">
        <v>0</v>
      </c>
      <c r="M55" s="257">
        <v>0</v>
      </c>
      <c r="N55" s="257">
        <v>0</v>
      </c>
      <c r="O55" s="257">
        <v>0</v>
      </c>
      <c r="P55" s="257">
        <v>0</v>
      </c>
    </row>
    <row r="56" spans="1:16" ht="15.75">
      <c r="A56" s="79">
        <v>21</v>
      </c>
      <c r="B56" s="81" t="s">
        <v>203</v>
      </c>
      <c r="C56" s="259">
        <f t="shared" si="4"/>
        <v>0</v>
      </c>
      <c r="D56" s="271">
        <f t="shared" si="5"/>
        <v>0</v>
      </c>
      <c r="E56" s="257">
        <v>0</v>
      </c>
      <c r="F56" s="257">
        <v>0</v>
      </c>
      <c r="G56" s="257">
        <v>0</v>
      </c>
      <c r="H56" s="257">
        <v>0</v>
      </c>
      <c r="I56" s="257">
        <v>0</v>
      </c>
      <c r="J56" s="257">
        <v>0</v>
      </c>
      <c r="K56" s="257">
        <v>0</v>
      </c>
      <c r="L56" s="257">
        <v>0</v>
      </c>
      <c r="M56" s="257">
        <v>0</v>
      </c>
      <c r="N56" s="257">
        <v>0</v>
      </c>
      <c r="O56" s="257">
        <v>0</v>
      </c>
      <c r="P56" s="257">
        <v>0</v>
      </c>
    </row>
    <row r="57" spans="1:16" ht="15.75">
      <c r="A57" s="79">
        <v>22</v>
      </c>
      <c r="B57" s="81" t="s">
        <v>204</v>
      </c>
      <c r="C57" s="259">
        <f t="shared" si="4"/>
        <v>0</v>
      </c>
      <c r="D57" s="271">
        <f t="shared" si="5"/>
        <v>0</v>
      </c>
      <c r="E57" s="257">
        <v>0</v>
      </c>
      <c r="F57" s="257">
        <v>0</v>
      </c>
      <c r="G57" s="257">
        <v>0</v>
      </c>
      <c r="H57" s="257">
        <v>0</v>
      </c>
      <c r="I57" s="257">
        <v>0</v>
      </c>
      <c r="J57" s="257">
        <v>0</v>
      </c>
      <c r="K57" s="257">
        <v>0</v>
      </c>
      <c r="L57" s="257">
        <v>0</v>
      </c>
      <c r="M57" s="257">
        <v>0</v>
      </c>
      <c r="N57" s="257">
        <v>0</v>
      </c>
      <c r="O57" s="257">
        <v>0</v>
      </c>
      <c r="P57" s="257">
        <v>0</v>
      </c>
    </row>
    <row r="58" spans="1:16" ht="15.75">
      <c r="A58" s="79">
        <v>23</v>
      </c>
      <c r="B58" s="81" t="s">
        <v>205</v>
      </c>
      <c r="C58" s="259">
        <f t="shared" si="4"/>
        <v>0</v>
      </c>
      <c r="D58" s="271">
        <f t="shared" si="5"/>
        <v>0</v>
      </c>
      <c r="E58" s="257">
        <v>0</v>
      </c>
      <c r="F58" s="257">
        <v>0</v>
      </c>
      <c r="G58" s="257">
        <v>0</v>
      </c>
      <c r="H58" s="257">
        <v>0</v>
      </c>
      <c r="I58" s="257">
        <v>0</v>
      </c>
      <c r="J58" s="257">
        <v>0</v>
      </c>
      <c r="K58" s="257">
        <v>0</v>
      </c>
      <c r="L58" s="257">
        <v>0</v>
      </c>
      <c r="M58" s="257">
        <v>0</v>
      </c>
      <c r="N58" s="257">
        <v>0</v>
      </c>
      <c r="O58" s="257">
        <v>0</v>
      </c>
      <c r="P58" s="257">
        <v>0</v>
      </c>
    </row>
    <row r="59" spans="1:16" ht="15.75">
      <c r="A59" s="79">
        <v>24</v>
      </c>
      <c r="B59" s="81" t="s">
        <v>206</v>
      </c>
      <c r="C59" s="259">
        <f t="shared" si="4"/>
        <v>0</v>
      </c>
      <c r="D59" s="271">
        <f t="shared" si="5"/>
        <v>0</v>
      </c>
      <c r="E59" s="257">
        <v>0</v>
      </c>
      <c r="F59" s="257">
        <v>0</v>
      </c>
      <c r="G59" s="257">
        <v>0</v>
      </c>
      <c r="H59" s="257">
        <v>0</v>
      </c>
      <c r="I59" s="257">
        <v>0</v>
      </c>
      <c r="J59" s="257">
        <v>0</v>
      </c>
      <c r="K59" s="257">
        <v>0</v>
      </c>
      <c r="L59" s="257">
        <v>0</v>
      </c>
      <c r="M59" s="257">
        <v>0</v>
      </c>
      <c r="N59" s="257">
        <v>0</v>
      </c>
      <c r="O59" s="257">
        <v>0</v>
      </c>
      <c r="P59" s="257">
        <v>0</v>
      </c>
    </row>
    <row r="60" spans="1:16" ht="15.75">
      <c r="A60" s="79">
        <v>25</v>
      </c>
      <c r="B60" s="81" t="s">
        <v>207</v>
      </c>
      <c r="C60" s="259">
        <f t="shared" si="4"/>
        <v>0</v>
      </c>
      <c r="D60" s="271">
        <f t="shared" si="5"/>
        <v>0</v>
      </c>
      <c r="E60" s="257">
        <v>0</v>
      </c>
      <c r="F60" s="257">
        <v>0</v>
      </c>
      <c r="G60" s="257">
        <v>0</v>
      </c>
      <c r="H60" s="257">
        <v>0</v>
      </c>
      <c r="I60" s="257">
        <v>0</v>
      </c>
      <c r="J60" s="257">
        <v>0</v>
      </c>
      <c r="K60" s="257">
        <v>0</v>
      </c>
      <c r="L60" s="257">
        <v>0</v>
      </c>
      <c r="M60" s="257">
        <v>0</v>
      </c>
      <c r="N60" s="257">
        <v>0</v>
      </c>
      <c r="O60" s="257">
        <v>0</v>
      </c>
      <c r="P60" s="257">
        <v>0</v>
      </c>
    </row>
    <row r="61" spans="1:16" ht="15.75">
      <c r="A61" s="79">
        <v>26</v>
      </c>
      <c r="B61" s="81" t="s">
        <v>208</v>
      </c>
      <c r="C61" s="259">
        <f t="shared" si="4"/>
        <v>0</v>
      </c>
      <c r="D61" s="271">
        <f t="shared" si="5"/>
        <v>0</v>
      </c>
      <c r="E61" s="257">
        <v>0</v>
      </c>
      <c r="F61" s="257">
        <v>0</v>
      </c>
      <c r="G61" s="257">
        <v>0</v>
      </c>
      <c r="H61" s="257">
        <v>0</v>
      </c>
      <c r="I61" s="257">
        <v>0</v>
      </c>
      <c r="J61" s="257">
        <v>0</v>
      </c>
      <c r="K61" s="257">
        <v>0</v>
      </c>
      <c r="L61" s="257">
        <v>0</v>
      </c>
      <c r="M61" s="257">
        <v>0</v>
      </c>
      <c r="N61" s="257">
        <v>0</v>
      </c>
      <c r="O61" s="257">
        <v>0</v>
      </c>
      <c r="P61" s="257">
        <v>0</v>
      </c>
    </row>
    <row r="62" spans="1:16" ht="15.75">
      <c r="A62" s="79">
        <v>27</v>
      </c>
      <c r="B62" s="81" t="s">
        <v>209</v>
      </c>
      <c r="C62" s="259">
        <f t="shared" si="4"/>
        <v>0</v>
      </c>
      <c r="D62" s="271">
        <f t="shared" si="5"/>
        <v>0</v>
      </c>
      <c r="E62" s="257">
        <v>0</v>
      </c>
      <c r="F62" s="257">
        <v>0</v>
      </c>
      <c r="G62" s="257">
        <v>0</v>
      </c>
      <c r="H62" s="257">
        <v>0</v>
      </c>
      <c r="I62" s="257">
        <v>0</v>
      </c>
      <c r="J62" s="257">
        <v>0</v>
      </c>
      <c r="K62" s="257">
        <v>0</v>
      </c>
      <c r="L62" s="257">
        <v>0</v>
      </c>
      <c r="M62" s="257">
        <v>0</v>
      </c>
      <c r="N62" s="257">
        <v>0</v>
      </c>
      <c r="O62" s="257">
        <v>0</v>
      </c>
      <c r="P62" s="257">
        <v>0</v>
      </c>
    </row>
    <row r="63" spans="1:16" ht="15.75">
      <c r="A63" s="79">
        <v>28</v>
      </c>
      <c r="B63" s="81" t="s">
        <v>210</v>
      </c>
      <c r="C63" s="65">
        <f>E63+G63</f>
        <v>1</v>
      </c>
      <c r="D63" s="135">
        <f>F63+H63</f>
        <v>1</v>
      </c>
      <c r="E63" s="135">
        <v>1</v>
      </c>
      <c r="F63" s="135">
        <v>1</v>
      </c>
      <c r="G63" s="257">
        <v>0</v>
      </c>
      <c r="H63" s="257">
        <v>0</v>
      </c>
      <c r="I63" s="257">
        <v>0</v>
      </c>
      <c r="J63" s="257">
        <v>0</v>
      </c>
      <c r="K63" s="257">
        <v>0</v>
      </c>
      <c r="L63" s="257">
        <v>0</v>
      </c>
      <c r="M63" s="135">
        <v>1</v>
      </c>
      <c r="N63" s="135">
        <v>1</v>
      </c>
      <c r="O63" s="135">
        <v>20000</v>
      </c>
      <c r="P63" s="135">
        <v>0</v>
      </c>
    </row>
    <row r="64" spans="1:16" ht="15.75">
      <c r="A64" s="79">
        <v>29</v>
      </c>
      <c r="B64" s="81" t="s">
        <v>211</v>
      </c>
      <c r="C64" s="259">
        <f>E64+G64</f>
        <v>0</v>
      </c>
      <c r="D64" s="271">
        <f>F64+H64</f>
        <v>0</v>
      </c>
      <c r="E64" s="257">
        <v>0</v>
      </c>
      <c r="F64" s="257">
        <v>0</v>
      </c>
      <c r="G64" s="257">
        <v>0</v>
      </c>
      <c r="H64" s="257">
        <v>0</v>
      </c>
      <c r="I64" s="257">
        <v>0</v>
      </c>
      <c r="J64" s="257">
        <v>0</v>
      </c>
      <c r="K64" s="257">
        <v>0</v>
      </c>
      <c r="L64" s="257">
        <v>0</v>
      </c>
      <c r="M64" s="257">
        <v>0</v>
      </c>
      <c r="N64" s="257">
        <v>0</v>
      </c>
      <c r="O64" s="257">
        <v>0</v>
      </c>
      <c r="P64" s="257">
        <v>0</v>
      </c>
    </row>
    <row r="65" spans="1:16" ht="15.75">
      <c r="A65" s="79">
        <v>30</v>
      </c>
      <c r="B65" s="81" t="s">
        <v>212</v>
      </c>
      <c r="C65" s="259">
        <f>E65+G65</f>
        <v>0</v>
      </c>
      <c r="D65" s="271">
        <f aca="true" t="shared" si="6" ref="D65:D70">F65+H65</f>
        <v>0</v>
      </c>
      <c r="E65" s="257">
        <v>0</v>
      </c>
      <c r="F65" s="257">
        <v>0</v>
      </c>
      <c r="G65" s="257">
        <v>0</v>
      </c>
      <c r="H65" s="257">
        <v>0</v>
      </c>
      <c r="I65" s="257">
        <v>0</v>
      </c>
      <c r="J65" s="257">
        <v>0</v>
      </c>
      <c r="K65" s="257">
        <v>0</v>
      </c>
      <c r="L65" s="257">
        <v>0</v>
      </c>
      <c r="M65" s="257">
        <v>0</v>
      </c>
      <c r="N65" s="257">
        <v>0</v>
      </c>
      <c r="O65" s="257">
        <v>0</v>
      </c>
      <c r="P65" s="257">
        <v>0</v>
      </c>
    </row>
    <row r="66" spans="1:16" ht="15.75">
      <c r="A66" s="79">
        <v>31</v>
      </c>
      <c r="B66" s="81" t="s">
        <v>213</v>
      </c>
      <c r="C66" s="259">
        <f>E66+G66</f>
        <v>0</v>
      </c>
      <c r="D66" s="271">
        <f t="shared" si="6"/>
        <v>0</v>
      </c>
      <c r="E66" s="257">
        <v>0</v>
      </c>
      <c r="F66" s="257">
        <v>0</v>
      </c>
      <c r="G66" s="257">
        <v>0</v>
      </c>
      <c r="H66" s="257">
        <v>0</v>
      </c>
      <c r="I66" s="257">
        <v>0</v>
      </c>
      <c r="J66" s="257">
        <v>0</v>
      </c>
      <c r="K66" s="257">
        <v>0</v>
      </c>
      <c r="L66" s="257">
        <v>0</v>
      </c>
      <c r="M66" s="257">
        <v>0</v>
      </c>
      <c r="N66" s="257">
        <v>0</v>
      </c>
      <c r="O66" s="257">
        <v>0</v>
      </c>
      <c r="P66" s="257">
        <v>0</v>
      </c>
    </row>
    <row r="67" spans="1:16" ht="15.75">
      <c r="A67" s="79">
        <v>32</v>
      </c>
      <c r="B67" s="81" t="s">
        <v>214</v>
      </c>
      <c r="C67" s="259">
        <f>E67+G67</f>
        <v>0</v>
      </c>
      <c r="D67" s="271">
        <f t="shared" si="6"/>
        <v>0</v>
      </c>
      <c r="E67" s="257">
        <v>0</v>
      </c>
      <c r="F67" s="257">
        <v>0</v>
      </c>
      <c r="G67" s="257">
        <v>0</v>
      </c>
      <c r="H67" s="257">
        <v>0</v>
      </c>
      <c r="I67" s="257">
        <v>0</v>
      </c>
      <c r="J67" s="257">
        <v>0</v>
      </c>
      <c r="K67" s="257">
        <v>0</v>
      </c>
      <c r="L67" s="257">
        <v>0</v>
      </c>
      <c r="M67" s="257">
        <v>0</v>
      </c>
      <c r="N67" s="257">
        <v>0</v>
      </c>
      <c r="O67" s="257">
        <v>0</v>
      </c>
      <c r="P67" s="257">
        <v>0</v>
      </c>
    </row>
    <row r="68" spans="1:16" ht="15.75">
      <c r="A68" s="79">
        <v>33</v>
      </c>
      <c r="B68" s="81" t="s">
        <v>215</v>
      </c>
      <c r="C68" s="259">
        <f>E68+G68</f>
        <v>0</v>
      </c>
      <c r="D68" s="271">
        <f t="shared" si="6"/>
        <v>0</v>
      </c>
      <c r="E68" s="257">
        <v>0</v>
      </c>
      <c r="F68" s="257">
        <v>0</v>
      </c>
      <c r="G68" s="257">
        <v>0</v>
      </c>
      <c r="H68" s="257">
        <v>0</v>
      </c>
      <c r="I68" s="257">
        <v>0</v>
      </c>
      <c r="J68" s="257">
        <v>0</v>
      </c>
      <c r="K68" s="257">
        <v>0</v>
      </c>
      <c r="L68" s="257">
        <v>0</v>
      </c>
      <c r="M68" s="257">
        <v>0</v>
      </c>
      <c r="N68" s="257">
        <v>0</v>
      </c>
      <c r="O68" s="257">
        <v>0</v>
      </c>
      <c r="P68" s="257">
        <v>0</v>
      </c>
    </row>
    <row r="69" spans="1:16" ht="15.75">
      <c r="A69" s="79">
        <v>34</v>
      </c>
      <c r="B69" s="81" t="s">
        <v>216</v>
      </c>
      <c r="C69" s="259">
        <f>E69+G69</f>
        <v>0</v>
      </c>
      <c r="D69" s="271">
        <f t="shared" si="6"/>
        <v>0</v>
      </c>
      <c r="E69" s="257">
        <v>0</v>
      </c>
      <c r="F69" s="257">
        <v>0</v>
      </c>
      <c r="G69" s="257">
        <v>0</v>
      </c>
      <c r="H69" s="257">
        <v>0</v>
      </c>
      <c r="I69" s="257">
        <v>0</v>
      </c>
      <c r="J69" s="257">
        <v>0</v>
      </c>
      <c r="K69" s="257">
        <v>0</v>
      </c>
      <c r="L69" s="257">
        <v>0</v>
      </c>
      <c r="M69" s="257">
        <v>0</v>
      </c>
      <c r="N69" s="257">
        <v>0</v>
      </c>
      <c r="O69" s="257">
        <v>0</v>
      </c>
      <c r="P69" s="257">
        <v>0</v>
      </c>
    </row>
    <row r="70" spans="1:16" ht="15.75">
      <c r="A70" s="79">
        <v>35</v>
      </c>
      <c r="B70" s="81" t="s">
        <v>217</v>
      </c>
      <c r="C70" s="65">
        <f aca="true" t="shared" si="7" ref="C70:C95">E70+G70</f>
        <v>1</v>
      </c>
      <c r="D70" s="271">
        <f t="shared" si="6"/>
        <v>0</v>
      </c>
      <c r="E70" s="135">
        <v>1</v>
      </c>
      <c r="F70" s="257">
        <v>0</v>
      </c>
      <c r="G70" s="257">
        <v>0</v>
      </c>
      <c r="H70" s="257">
        <v>0</v>
      </c>
      <c r="I70" s="257">
        <v>0</v>
      </c>
      <c r="J70" s="257">
        <v>0</v>
      </c>
      <c r="K70" s="257">
        <v>0</v>
      </c>
      <c r="L70" s="257">
        <v>0</v>
      </c>
      <c r="M70" s="135">
        <v>1</v>
      </c>
      <c r="N70" s="257">
        <v>0</v>
      </c>
      <c r="O70" s="257">
        <v>0</v>
      </c>
      <c r="P70" s="257">
        <v>0</v>
      </c>
    </row>
    <row r="71" spans="1:16" ht="15.75">
      <c r="A71" s="79">
        <v>36</v>
      </c>
      <c r="B71" s="82" t="s">
        <v>218</v>
      </c>
      <c r="C71" s="259">
        <f t="shared" si="7"/>
        <v>0</v>
      </c>
      <c r="D71" s="271">
        <f aca="true" t="shared" si="8" ref="D71:D95">F71+H71</f>
        <v>0</v>
      </c>
      <c r="E71" s="257">
        <v>0</v>
      </c>
      <c r="F71" s="257">
        <v>0</v>
      </c>
      <c r="G71" s="257">
        <v>0</v>
      </c>
      <c r="H71" s="257">
        <v>0</v>
      </c>
      <c r="I71" s="257">
        <v>0</v>
      </c>
      <c r="J71" s="257">
        <v>0</v>
      </c>
      <c r="K71" s="257">
        <v>0</v>
      </c>
      <c r="L71" s="257">
        <v>0</v>
      </c>
      <c r="M71" s="257">
        <v>0</v>
      </c>
      <c r="N71" s="257">
        <v>0</v>
      </c>
      <c r="O71" s="257">
        <v>0</v>
      </c>
      <c r="P71" s="257">
        <v>0</v>
      </c>
    </row>
    <row r="72" spans="1:16" ht="15.75">
      <c r="A72" s="79">
        <v>37</v>
      </c>
      <c r="B72" s="82" t="s">
        <v>219</v>
      </c>
      <c r="C72" s="259">
        <f aca="true" t="shared" si="9" ref="C72:D74">E72+G72</f>
        <v>0</v>
      </c>
      <c r="D72" s="271">
        <f t="shared" si="9"/>
        <v>0</v>
      </c>
      <c r="E72" s="257">
        <v>0</v>
      </c>
      <c r="F72" s="257">
        <v>0</v>
      </c>
      <c r="G72" s="257">
        <v>0</v>
      </c>
      <c r="H72" s="257">
        <v>0</v>
      </c>
      <c r="I72" s="257">
        <v>0</v>
      </c>
      <c r="J72" s="257">
        <v>0</v>
      </c>
      <c r="K72" s="257">
        <v>0</v>
      </c>
      <c r="L72" s="257">
        <v>0</v>
      </c>
      <c r="M72" s="257">
        <v>0</v>
      </c>
      <c r="N72" s="257">
        <v>0</v>
      </c>
      <c r="O72" s="257">
        <v>0</v>
      </c>
      <c r="P72" s="257">
        <v>0</v>
      </c>
    </row>
    <row r="73" spans="1:16" ht="15.75">
      <c r="A73" s="79">
        <v>38</v>
      </c>
      <c r="B73" s="82" t="s">
        <v>220</v>
      </c>
      <c r="C73" s="259">
        <f t="shared" si="9"/>
        <v>0</v>
      </c>
      <c r="D73" s="271">
        <f t="shared" si="9"/>
        <v>0</v>
      </c>
      <c r="E73" s="257">
        <v>0</v>
      </c>
      <c r="F73" s="257">
        <v>0</v>
      </c>
      <c r="G73" s="257">
        <v>0</v>
      </c>
      <c r="H73" s="257">
        <v>0</v>
      </c>
      <c r="I73" s="257">
        <v>0</v>
      </c>
      <c r="J73" s="257">
        <v>0</v>
      </c>
      <c r="K73" s="257">
        <v>0</v>
      </c>
      <c r="L73" s="257">
        <v>0</v>
      </c>
      <c r="M73" s="257">
        <v>0</v>
      </c>
      <c r="N73" s="257">
        <v>0</v>
      </c>
      <c r="O73" s="257">
        <v>0</v>
      </c>
      <c r="P73" s="257">
        <v>0</v>
      </c>
    </row>
    <row r="74" spans="1:16" ht="15.75">
      <c r="A74" s="79">
        <v>39</v>
      </c>
      <c r="B74" s="82" t="s">
        <v>221</v>
      </c>
      <c r="C74" s="259">
        <f t="shared" si="9"/>
        <v>0</v>
      </c>
      <c r="D74" s="271">
        <f t="shared" si="9"/>
        <v>0</v>
      </c>
      <c r="E74" s="257">
        <v>0</v>
      </c>
      <c r="F74" s="257">
        <v>0</v>
      </c>
      <c r="G74" s="257">
        <v>0</v>
      </c>
      <c r="H74" s="257">
        <v>0</v>
      </c>
      <c r="I74" s="257">
        <v>0</v>
      </c>
      <c r="J74" s="257">
        <v>0</v>
      </c>
      <c r="K74" s="257">
        <v>0</v>
      </c>
      <c r="L74" s="257">
        <v>0</v>
      </c>
      <c r="M74" s="257">
        <v>0</v>
      </c>
      <c r="N74" s="257">
        <v>0</v>
      </c>
      <c r="O74" s="257">
        <v>0</v>
      </c>
      <c r="P74" s="257">
        <v>0</v>
      </c>
    </row>
    <row r="75" spans="1:16" ht="15.75">
      <c r="A75" s="79">
        <v>40</v>
      </c>
      <c r="B75" s="82" t="s">
        <v>222</v>
      </c>
      <c r="C75" s="65">
        <f t="shared" si="7"/>
        <v>6</v>
      </c>
      <c r="D75" s="135">
        <f t="shared" si="8"/>
        <v>3</v>
      </c>
      <c r="E75" s="135">
        <v>6</v>
      </c>
      <c r="F75" s="135">
        <v>3</v>
      </c>
      <c r="G75" s="257">
        <v>0</v>
      </c>
      <c r="H75" s="257">
        <v>0</v>
      </c>
      <c r="I75" s="257">
        <v>0</v>
      </c>
      <c r="J75" s="257">
        <v>0</v>
      </c>
      <c r="K75" s="135">
        <v>5</v>
      </c>
      <c r="L75" s="135">
        <v>2</v>
      </c>
      <c r="M75" s="135">
        <v>1</v>
      </c>
      <c r="N75" s="135">
        <v>1</v>
      </c>
      <c r="O75" s="135">
        <v>1204022</v>
      </c>
      <c r="P75" s="135">
        <v>0</v>
      </c>
    </row>
    <row r="76" spans="1:16" ht="15.75">
      <c r="A76" s="79">
        <v>41</v>
      </c>
      <c r="B76" s="82" t="s">
        <v>223</v>
      </c>
      <c r="C76" s="259">
        <f t="shared" si="7"/>
        <v>0</v>
      </c>
      <c r="D76" s="271">
        <f t="shared" si="8"/>
        <v>0</v>
      </c>
      <c r="E76" s="257">
        <v>0</v>
      </c>
      <c r="F76" s="257">
        <v>0</v>
      </c>
      <c r="G76" s="257">
        <v>0</v>
      </c>
      <c r="H76" s="257">
        <v>0</v>
      </c>
      <c r="I76" s="257">
        <v>0</v>
      </c>
      <c r="J76" s="257">
        <v>0</v>
      </c>
      <c r="K76" s="257">
        <v>0</v>
      </c>
      <c r="L76" s="257">
        <v>0</v>
      </c>
      <c r="M76" s="257">
        <v>0</v>
      </c>
      <c r="N76" s="257">
        <v>0</v>
      </c>
      <c r="O76" s="257">
        <v>0</v>
      </c>
      <c r="P76" s="257">
        <v>0</v>
      </c>
    </row>
    <row r="77" spans="1:16" ht="15.75">
      <c r="A77" s="79">
        <v>42</v>
      </c>
      <c r="B77" s="82" t="s">
        <v>224</v>
      </c>
      <c r="C77" s="259">
        <f>E77+G77</f>
        <v>0</v>
      </c>
      <c r="D77" s="271">
        <f aca="true" t="shared" si="10" ref="D77:D83">F77+H77</f>
        <v>0</v>
      </c>
      <c r="E77" s="257">
        <v>0</v>
      </c>
      <c r="F77" s="257">
        <v>0</v>
      </c>
      <c r="G77" s="257">
        <v>0</v>
      </c>
      <c r="H77" s="257">
        <v>0</v>
      </c>
      <c r="I77" s="257">
        <v>0</v>
      </c>
      <c r="J77" s="257">
        <v>0</v>
      </c>
      <c r="K77" s="257">
        <v>0</v>
      </c>
      <c r="L77" s="257">
        <v>0</v>
      </c>
      <c r="M77" s="257">
        <v>0</v>
      </c>
      <c r="N77" s="257">
        <v>0</v>
      </c>
      <c r="O77" s="257">
        <v>0</v>
      </c>
      <c r="P77" s="257">
        <v>0</v>
      </c>
    </row>
    <row r="78" spans="1:16" ht="15.75">
      <c r="A78" s="79">
        <v>43</v>
      </c>
      <c r="B78" s="82" t="s">
        <v>225</v>
      </c>
      <c r="C78" s="259">
        <f>E78+G78</f>
        <v>0</v>
      </c>
      <c r="D78" s="271">
        <f t="shared" si="10"/>
        <v>0</v>
      </c>
      <c r="E78" s="257">
        <v>0</v>
      </c>
      <c r="F78" s="257">
        <v>0</v>
      </c>
      <c r="G78" s="257">
        <v>0</v>
      </c>
      <c r="H78" s="257">
        <v>0</v>
      </c>
      <c r="I78" s="257">
        <v>0</v>
      </c>
      <c r="J78" s="257">
        <v>0</v>
      </c>
      <c r="K78" s="257">
        <v>0</v>
      </c>
      <c r="L78" s="257">
        <v>0</v>
      </c>
      <c r="M78" s="257">
        <v>0</v>
      </c>
      <c r="N78" s="257">
        <v>0</v>
      </c>
      <c r="O78" s="257">
        <v>0</v>
      </c>
      <c r="P78" s="257">
        <v>0</v>
      </c>
    </row>
    <row r="79" spans="1:16" ht="15.75">
      <c r="A79" s="79">
        <v>44</v>
      </c>
      <c r="B79" s="82" t="s">
        <v>226</v>
      </c>
      <c r="C79" s="259">
        <f>E79+G79</f>
        <v>0</v>
      </c>
      <c r="D79" s="271">
        <f t="shared" si="10"/>
        <v>0</v>
      </c>
      <c r="E79" s="257">
        <v>0</v>
      </c>
      <c r="F79" s="257">
        <v>0</v>
      </c>
      <c r="G79" s="257">
        <v>0</v>
      </c>
      <c r="H79" s="257">
        <v>0</v>
      </c>
      <c r="I79" s="257">
        <v>0</v>
      </c>
      <c r="J79" s="257">
        <v>0</v>
      </c>
      <c r="K79" s="257">
        <v>0</v>
      </c>
      <c r="L79" s="257">
        <v>0</v>
      </c>
      <c r="M79" s="257">
        <v>0</v>
      </c>
      <c r="N79" s="257">
        <v>0</v>
      </c>
      <c r="O79" s="257">
        <v>0</v>
      </c>
      <c r="P79" s="257">
        <v>0</v>
      </c>
    </row>
    <row r="80" spans="1:16" s="71" customFormat="1" ht="15.75">
      <c r="A80" s="79">
        <v>45</v>
      </c>
      <c r="B80" s="83" t="s">
        <v>231</v>
      </c>
      <c r="C80" s="259">
        <f>E80+G80</f>
        <v>0</v>
      </c>
      <c r="D80" s="271">
        <f t="shared" si="10"/>
        <v>0</v>
      </c>
      <c r="E80" s="257">
        <v>0</v>
      </c>
      <c r="F80" s="257">
        <v>0</v>
      </c>
      <c r="G80" s="257">
        <v>0</v>
      </c>
      <c r="H80" s="257">
        <v>0</v>
      </c>
      <c r="I80" s="257">
        <v>0</v>
      </c>
      <c r="J80" s="257">
        <v>0</v>
      </c>
      <c r="K80" s="257">
        <v>0</v>
      </c>
      <c r="L80" s="257">
        <v>0</v>
      </c>
      <c r="M80" s="257">
        <v>0</v>
      </c>
      <c r="N80" s="257">
        <v>0</v>
      </c>
      <c r="O80" s="257">
        <v>0</v>
      </c>
      <c r="P80" s="257">
        <v>0</v>
      </c>
    </row>
    <row r="81" spans="1:16" s="71" customFormat="1" ht="15.75">
      <c r="A81" s="79">
        <v>46</v>
      </c>
      <c r="B81" s="83" t="s">
        <v>232</v>
      </c>
      <c r="C81" s="259">
        <f>E81+G81</f>
        <v>0</v>
      </c>
      <c r="D81" s="271">
        <f t="shared" si="10"/>
        <v>0</v>
      </c>
      <c r="E81" s="257">
        <v>0</v>
      </c>
      <c r="F81" s="257">
        <v>0</v>
      </c>
      <c r="G81" s="257">
        <v>0</v>
      </c>
      <c r="H81" s="257">
        <v>0</v>
      </c>
      <c r="I81" s="257">
        <v>0</v>
      </c>
      <c r="J81" s="257">
        <v>0</v>
      </c>
      <c r="K81" s="257">
        <v>0</v>
      </c>
      <c r="L81" s="257">
        <v>0</v>
      </c>
      <c r="M81" s="257">
        <v>0</v>
      </c>
      <c r="N81" s="257">
        <v>0</v>
      </c>
      <c r="O81" s="257">
        <v>0</v>
      </c>
      <c r="P81" s="257">
        <v>0</v>
      </c>
    </row>
    <row r="82" spans="1:16" s="71" customFormat="1" ht="15.75">
      <c r="A82" s="79">
        <v>47</v>
      </c>
      <c r="B82" s="83" t="s">
        <v>233</v>
      </c>
      <c r="C82" s="65">
        <f t="shared" si="7"/>
        <v>3</v>
      </c>
      <c r="D82" s="135">
        <f t="shared" si="8"/>
        <v>2</v>
      </c>
      <c r="E82" s="135">
        <v>3</v>
      </c>
      <c r="F82" s="135">
        <v>2</v>
      </c>
      <c r="G82" s="257">
        <v>0</v>
      </c>
      <c r="H82" s="257">
        <v>0</v>
      </c>
      <c r="I82" s="257">
        <v>0</v>
      </c>
      <c r="J82" s="257">
        <v>0</v>
      </c>
      <c r="K82" s="257">
        <v>0</v>
      </c>
      <c r="L82" s="257">
        <v>0</v>
      </c>
      <c r="M82" s="135">
        <f>1+2</f>
        <v>3</v>
      </c>
      <c r="N82" s="135">
        <f>1+1</f>
        <v>2</v>
      </c>
      <c r="O82" s="135">
        <v>6354413</v>
      </c>
      <c r="P82" s="135"/>
    </row>
    <row r="83" spans="1:16" s="71" customFormat="1" ht="15.75">
      <c r="A83" s="79">
        <v>48</v>
      </c>
      <c r="B83" s="83" t="s">
        <v>234</v>
      </c>
      <c r="C83" s="65">
        <f t="shared" si="7"/>
        <v>1</v>
      </c>
      <c r="D83" s="271">
        <f t="shared" si="10"/>
        <v>0</v>
      </c>
      <c r="E83" s="135">
        <v>1</v>
      </c>
      <c r="F83" s="257">
        <v>0</v>
      </c>
      <c r="G83" s="257">
        <v>0</v>
      </c>
      <c r="H83" s="257">
        <v>0</v>
      </c>
      <c r="I83" s="257">
        <v>0</v>
      </c>
      <c r="J83" s="257">
        <v>0</v>
      </c>
      <c r="K83" s="135">
        <v>1</v>
      </c>
      <c r="L83" s="257">
        <v>0</v>
      </c>
      <c r="M83" s="257">
        <v>0</v>
      </c>
      <c r="N83" s="257">
        <v>0</v>
      </c>
      <c r="O83" s="135"/>
      <c r="P83" s="135"/>
    </row>
    <row r="84" spans="1:16" s="71" customFormat="1" ht="15.75">
      <c r="A84" s="79">
        <v>49</v>
      </c>
      <c r="B84" s="83" t="s">
        <v>235</v>
      </c>
      <c r="C84" s="259">
        <f t="shared" si="7"/>
        <v>0</v>
      </c>
      <c r="D84" s="271">
        <f t="shared" si="8"/>
        <v>0</v>
      </c>
      <c r="E84" s="257">
        <v>0</v>
      </c>
      <c r="F84" s="257">
        <v>0</v>
      </c>
      <c r="G84" s="257">
        <v>0</v>
      </c>
      <c r="H84" s="257">
        <v>0</v>
      </c>
      <c r="I84" s="257">
        <v>0</v>
      </c>
      <c r="J84" s="257">
        <v>0</v>
      </c>
      <c r="K84" s="257">
        <v>0</v>
      </c>
      <c r="L84" s="257">
        <v>0</v>
      </c>
      <c r="M84" s="257">
        <v>0</v>
      </c>
      <c r="N84" s="257">
        <v>0</v>
      </c>
      <c r="O84" s="257">
        <v>0</v>
      </c>
      <c r="P84" s="257">
        <v>0</v>
      </c>
    </row>
    <row r="85" spans="1:16" s="71" customFormat="1" ht="15.75">
      <c r="A85" s="79">
        <v>50</v>
      </c>
      <c r="B85" s="83" t="s">
        <v>236</v>
      </c>
      <c r="C85" s="65">
        <f t="shared" si="7"/>
        <v>2</v>
      </c>
      <c r="D85" s="135">
        <f t="shared" si="8"/>
        <v>2</v>
      </c>
      <c r="E85" s="135">
        <v>2</v>
      </c>
      <c r="F85" s="135">
        <v>2</v>
      </c>
      <c r="G85" s="257">
        <v>0</v>
      </c>
      <c r="H85" s="257">
        <v>0</v>
      </c>
      <c r="I85" s="135"/>
      <c r="J85" s="135"/>
      <c r="K85" s="135">
        <v>2</v>
      </c>
      <c r="L85" s="135">
        <v>2</v>
      </c>
      <c r="M85" s="135"/>
      <c r="N85" s="135"/>
      <c r="O85" s="135">
        <v>1376579.201</v>
      </c>
      <c r="P85" s="135">
        <v>1376579.201</v>
      </c>
    </row>
    <row r="86" spans="1:16" s="71" customFormat="1" ht="15.75">
      <c r="A86" s="79">
        <v>51</v>
      </c>
      <c r="B86" s="84" t="s">
        <v>237</v>
      </c>
      <c r="C86" s="259">
        <f t="shared" si="7"/>
        <v>0</v>
      </c>
      <c r="D86" s="271">
        <f t="shared" si="8"/>
        <v>0</v>
      </c>
      <c r="E86" s="257">
        <v>0</v>
      </c>
      <c r="F86" s="257">
        <v>0</v>
      </c>
      <c r="G86" s="257">
        <v>0</v>
      </c>
      <c r="H86" s="257">
        <v>0</v>
      </c>
      <c r="I86" s="257">
        <v>0</v>
      </c>
      <c r="J86" s="257">
        <v>0</v>
      </c>
      <c r="K86" s="257">
        <v>0</v>
      </c>
      <c r="L86" s="257">
        <v>0</v>
      </c>
      <c r="M86" s="257">
        <v>0</v>
      </c>
      <c r="N86" s="257">
        <v>0</v>
      </c>
      <c r="O86" s="257">
        <v>0</v>
      </c>
      <c r="P86" s="257">
        <v>0</v>
      </c>
    </row>
    <row r="87" spans="1:16" s="71" customFormat="1" ht="15.75">
      <c r="A87" s="79">
        <v>52</v>
      </c>
      <c r="B87" s="84" t="s">
        <v>238</v>
      </c>
      <c r="C87" s="259">
        <f t="shared" si="7"/>
        <v>0</v>
      </c>
      <c r="D87" s="271">
        <f t="shared" si="8"/>
        <v>0</v>
      </c>
      <c r="E87" s="257">
        <v>0</v>
      </c>
      <c r="F87" s="257">
        <v>0</v>
      </c>
      <c r="G87" s="257">
        <v>0</v>
      </c>
      <c r="H87" s="257">
        <v>0</v>
      </c>
      <c r="I87" s="257">
        <v>0</v>
      </c>
      <c r="J87" s="257">
        <v>0</v>
      </c>
      <c r="K87" s="257">
        <v>0</v>
      </c>
      <c r="L87" s="257">
        <v>0</v>
      </c>
      <c r="M87" s="257">
        <v>0</v>
      </c>
      <c r="N87" s="257">
        <v>0</v>
      </c>
      <c r="O87" s="257">
        <v>0</v>
      </c>
      <c r="P87" s="257">
        <v>0</v>
      </c>
    </row>
    <row r="88" spans="1:16" s="71" customFormat="1" ht="15.75">
      <c r="A88" s="79">
        <v>53</v>
      </c>
      <c r="B88" s="84" t="s">
        <v>239</v>
      </c>
      <c r="C88" s="65">
        <f t="shared" si="7"/>
        <v>1</v>
      </c>
      <c r="D88" s="271">
        <f t="shared" si="8"/>
        <v>0</v>
      </c>
      <c r="E88" s="135">
        <v>1</v>
      </c>
      <c r="F88" s="257">
        <v>0</v>
      </c>
      <c r="G88" s="135"/>
      <c r="H88" s="135"/>
      <c r="I88" s="135"/>
      <c r="J88" s="135"/>
      <c r="K88" s="135"/>
      <c r="L88" s="135"/>
      <c r="M88" s="135"/>
      <c r="N88" s="135"/>
      <c r="O88" s="135">
        <v>21455640</v>
      </c>
      <c r="P88" s="135"/>
    </row>
    <row r="89" spans="1:16" s="71" customFormat="1" ht="15.75">
      <c r="A89" s="79">
        <v>54</v>
      </c>
      <c r="B89" s="84" t="s">
        <v>240</v>
      </c>
      <c r="C89" s="65">
        <f t="shared" si="7"/>
        <v>1</v>
      </c>
      <c r="D89" s="271">
        <f t="shared" si="8"/>
        <v>0</v>
      </c>
      <c r="E89" s="135"/>
      <c r="F89" s="135"/>
      <c r="G89" s="135">
        <v>1</v>
      </c>
      <c r="H89" s="135"/>
      <c r="I89" s="135"/>
      <c r="J89" s="135"/>
      <c r="K89" s="135"/>
      <c r="L89" s="135"/>
      <c r="M89" s="135">
        <v>1</v>
      </c>
      <c r="N89" s="135"/>
      <c r="O89" s="135"/>
      <c r="P89" s="135"/>
    </row>
    <row r="90" spans="1:16" s="71" customFormat="1" ht="15.75">
      <c r="A90" s="79">
        <v>55</v>
      </c>
      <c r="B90" s="84" t="s">
        <v>241</v>
      </c>
      <c r="C90" s="259">
        <f t="shared" si="7"/>
        <v>0</v>
      </c>
      <c r="D90" s="271">
        <f t="shared" si="8"/>
        <v>0</v>
      </c>
      <c r="E90" s="257">
        <v>0</v>
      </c>
      <c r="F90" s="257">
        <v>0</v>
      </c>
      <c r="G90" s="257">
        <v>0</v>
      </c>
      <c r="H90" s="257">
        <v>0</v>
      </c>
      <c r="I90" s="257">
        <v>0</v>
      </c>
      <c r="J90" s="257">
        <v>0</v>
      </c>
      <c r="K90" s="257">
        <v>0</v>
      </c>
      <c r="L90" s="257">
        <v>0</v>
      </c>
      <c r="M90" s="257">
        <v>0</v>
      </c>
      <c r="N90" s="257">
        <v>0</v>
      </c>
      <c r="O90" s="257">
        <v>0</v>
      </c>
      <c r="P90" s="257">
        <v>0</v>
      </c>
    </row>
    <row r="91" spans="1:16" s="71" customFormat="1" ht="15.75">
      <c r="A91" s="79">
        <v>56</v>
      </c>
      <c r="B91" s="84" t="s">
        <v>242</v>
      </c>
      <c r="C91" s="259">
        <f t="shared" si="7"/>
        <v>0</v>
      </c>
      <c r="D91" s="271">
        <f t="shared" si="8"/>
        <v>0</v>
      </c>
      <c r="E91" s="257">
        <v>0</v>
      </c>
      <c r="F91" s="257">
        <v>0</v>
      </c>
      <c r="G91" s="257">
        <v>0</v>
      </c>
      <c r="H91" s="257">
        <v>0</v>
      </c>
      <c r="I91" s="257">
        <v>0</v>
      </c>
      <c r="J91" s="257">
        <v>0</v>
      </c>
      <c r="K91" s="257">
        <v>0</v>
      </c>
      <c r="L91" s="257">
        <v>0</v>
      </c>
      <c r="M91" s="257">
        <v>0</v>
      </c>
      <c r="N91" s="257">
        <v>0</v>
      </c>
      <c r="O91" s="257">
        <v>0</v>
      </c>
      <c r="P91" s="257">
        <v>0</v>
      </c>
    </row>
    <row r="92" spans="1:16" s="71" customFormat="1" ht="15.75">
      <c r="A92" s="79">
        <v>57</v>
      </c>
      <c r="B92" s="84" t="s">
        <v>243</v>
      </c>
      <c r="C92" s="259">
        <f t="shared" si="7"/>
        <v>0</v>
      </c>
      <c r="D92" s="271">
        <f t="shared" si="8"/>
        <v>0</v>
      </c>
      <c r="E92" s="257">
        <v>0</v>
      </c>
      <c r="F92" s="257">
        <v>0</v>
      </c>
      <c r="G92" s="257">
        <v>0</v>
      </c>
      <c r="H92" s="257">
        <v>0</v>
      </c>
      <c r="I92" s="257">
        <v>0</v>
      </c>
      <c r="J92" s="257">
        <v>0</v>
      </c>
      <c r="K92" s="257">
        <v>0</v>
      </c>
      <c r="L92" s="257">
        <v>0</v>
      </c>
      <c r="M92" s="257">
        <v>0</v>
      </c>
      <c r="N92" s="257">
        <v>0</v>
      </c>
      <c r="O92" s="257">
        <v>0</v>
      </c>
      <c r="P92" s="257">
        <v>0</v>
      </c>
    </row>
    <row r="93" spans="1:16" s="71" customFormat="1" ht="15.75">
      <c r="A93" s="79">
        <v>58</v>
      </c>
      <c r="B93" s="84" t="s">
        <v>244</v>
      </c>
      <c r="C93" s="65">
        <f t="shared" si="7"/>
        <v>2</v>
      </c>
      <c r="D93" s="135">
        <f t="shared" si="8"/>
        <v>1</v>
      </c>
      <c r="E93" s="135">
        <v>2</v>
      </c>
      <c r="F93" s="135">
        <v>1</v>
      </c>
      <c r="G93" s="257">
        <v>0</v>
      </c>
      <c r="H93" s="257">
        <v>0</v>
      </c>
      <c r="I93" s="257">
        <v>0</v>
      </c>
      <c r="J93" s="257">
        <v>0</v>
      </c>
      <c r="K93" s="257">
        <v>0</v>
      </c>
      <c r="L93" s="257">
        <v>0</v>
      </c>
      <c r="M93" s="135">
        <f>1+1+0</f>
        <v>2</v>
      </c>
      <c r="N93" s="135">
        <f>0+1+0</f>
        <v>1</v>
      </c>
      <c r="O93" s="135">
        <v>538290</v>
      </c>
      <c r="P93" s="135">
        <v>538290</v>
      </c>
    </row>
    <row r="94" spans="1:16" s="71" customFormat="1" ht="15.75">
      <c r="A94" s="79">
        <v>59</v>
      </c>
      <c r="B94" s="84" t="s">
        <v>245</v>
      </c>
      <c r="C94" s="259">
        <f t="shared" si="7"/>
        <v>0</v>
      </c>
      <c r="D94" s="271">
        <f t="shared" si="8"/>
        <v>0</v>
      </c>
      <c r="E94" s="257">
        <v>0</v>
      </c>
      <c r="F94" s="257">
        <v>0</v>
      </c>
      <c r="G94" s="257">
        <v>0</v>
      </c>
      <c r="H94" s="257">
        <v>0</v>
      </c>
      <c r="I94" s="257">
        <v>0</v>
      </c>
      <c r="J94" s="257">
        <v>0</v>
      </c>
      <c r="K94" s="257">
        <v>0</v>
      </c>
      <c r="L94" s="257">
        <v>0</v>
      </c>
      <c r="M94" s="257">
        <v>0</v>
      </c>
      <c r="N94" s="257">
        <v>0</v>
      </c>
      <c r="O94" s="257">
        <v>0</v>
      </c>
      <c r="P94" s="257">
        <v>0</v>
      </c>
    </row>
    <row r="95" spans="1:16" s="71" customFormat="1" ht="15.75">
      <c r="A95" s="79">
        <v>60</v>
      </c>
      <c r="B95" s="84" t="s">
        <v>246</v>
      </c>
      <c r="C95" s="259">
        <f t="shared" si="7"/>
        <v>0</v>
      </c>
      <c r="D95" s="271">
        <f t="shared" si="8"/>
        <v>0</v>
      </c>
      <c r="E95" s="257">
        <v>0</v>
      </c>
      <c r="F95" s="257">
        <v>0</v>
      </c>
      <c r="G95" s="257">
        <v>0</v>
      </c>
      <c r="H95" s="257">
        <v>0</v>
      </c>
      <c r="I95" s="257">
        <v>0</v>
      </c>
      <c r="J95" s="257">
        <v>0</v>
      </c>
      <c r="K95" s="257">
        <v>0</v>
      </c>
      <c r="L95" s="257">
        <v>0</v>
      </c>
      <c r="M95" s="257">
        <v>0</v>
      </c>
      <c r="N95" s="257">
        <v>0</v>
      </c>
      <c r="O95" s="257">
        <v>0</v>
      </c>
      <c r="P95" s="257">
        <v>0</v>
      </c>
    </row>
    <row r="96" spans="1:16" s="71" customFormat="1" ht="15.75">
      <c r="A96" s="79">
        <v>61</v>
      </c>
      <c r="B96" s="84" t="s">
        <v>247</v>
      </c>
      <c r="C96" s="259">
        <f aca="true" t="shared" si="11" ref="C96:D98">E96+G96</f>
        <v>0</v>
      </c>
      <c r="D96" s="271">
        <f t="shared" si="11"/>
        <v>0</v>
      </c>
      <c r="E96" s="257">
        <v>0</v>
      </c>
      <c r="F96" s="257">
        <v>0</v>
      </c>
      <c r="G96" s="257">
        <v>0</v>
      </c>
      <c r="H96" s="257">
        <v>0</v>
      </c>
      <c r="I96" s="257">
        <v>0</v>
      </c>
      <c r="J96" s="257">
        <v>0</v>
      </c>
      <c r="K96" s="257">
        <v>0</v>
      </c>
      <c r="L96" s="257">
        <v>0</v>
      </c>
      <c r="M96" s="257">
        <v>0</v>
      </c>
      <c r="N96" s="257">
        <v>0</v>
      </c>
      <c r="O96" s="257">
        <v>0</v>
      </c>
      <c r="P96" s="257">
        <v>0</v>
      </c>
    </row>
    <row r="97" spans="1:16" s="71" customFormat="1" ht="21" customHeight="1">
      <c r="A97" s="79">
        <v>62</v>
      </c>
      <c r="B97" s="84" t="s">
        <v>248</v>
      </c>
      <c r="C97" s="259">
        <f t="shared" si="11"/>
        <v>0</v>
      </c>
      <c r="D97" s="271">
        <f t="shared" si="11"/>
        <v>0</v>
      </c>
      <c r="E97" s="257">
        <v>0</v>
      </c>
      <c r="F97" s="257">
        <v>0</v>
      </c>
      <c r="G97" s="257">
        <v>0</v>
      </c>
      <c r="H97" s="257">
        <v>0</v>
      </c>
      <c r="I97" s="257">
        <v>0</v>
      </c>
      <c r="J97" s="257">
        <v>0</v>
      </c>
      <c r="K97" s="257">
        <v>0</v>
      </c>
      <c r="L97" s="257">
        <v>0</v>
      </c>
      <c r="M97" s="257">
        <v>0</v>
      </c>
      <c r="N97" s="257">
        <v>0</v>
      </c>
      <c r="O97" s="257">
        <v>0</v>
      </c>
      <c r="P97" s="257">
        <v>0</v>
      </c>
    </row>
    <row r="98" spans="1:16" s="71" customFormat="1" ht="15.75">
      <c r="A98" s="79">
        <v>63</v>
      </c>
      <c r="B98" s="84" t="s">
        <v>249</v>
      </c>
      <c r="C98" s="259">
        <f t="shared" si="11"/>
        <v>0</v>
      </c>
      <c r="D98" s="271">
        <f t="shared" si="11"/>
        <v>0</v>
      </c>
      <c r="E98" s="257">
        <v>0</v>
      </c>
      <c r="F98" s="257">
        <v>0</v>
      </c>
      <c r="G98" s="257">
        <v>0</v>
      </c>
      <c r="H98" s="257">
        <v>0</v>
      </c>
      <c r="I98" s="257">
        <v>0</v>
      </c>
      <c r="J98" s="257">
        <v>0</v>
      </c>
      <c r="K98" s="257">
        <v>0</v>
      </c>
      <c r="L98" s="257">
        <v>0</v>
      </c>
      <c r="M98" s="257">
        <v>0</v>
      </c>
      <c r="N98" s="257">
        <v>0</v>
      </c>
      <c r="O98" s="257">
        <v>0</v>
      </c>
      <c r="P98" s="257">
        <v>0</v>
      </c>
    </row>
    <row r="99" spans="5:16" ht="15.75" customHeight="1">
      <c r="E99" s="126"/>
      <c r="F99" s="126"/>
      <c r="G99" s="126"/>
      <c r="H99" s="126"/>
      <c r="I99" s="126"/>
      <c r="J99" s="126"/>
      <c r="K99" s="126"/>
      <c r="L99" s="126"/>
      <c r="M99" s="126"/>
      <c r="N99" s="126"/>
      <c r="O99" s="126"/>
      <c r="P99" s="126"/>
    </row>
    <row r="100" spans="5:16" ht="15.75" customHeight="1">
      <c r="E100" s="126"/>
      <c r="F100" s="126"/>
      <c r="G100" s="126"/>
      <c r="H100" s="126"/>
      <c r="I100" s="126"/>
      <c r="J100" s="126"/>
      <c r="K100" s="126"/>
      <c r="L100" s="126"/>
      <c r="M100" s="126"/>
      <c r="N100" s="126"/>
      <c r="O100" s="126"/>
      <c r="P100" s="126"/>
    </row>
    <row r="101" spans="1:16" s="102" customFormat="1" ht="12.75">
      <c r="A101" s="32"/>
      <c r="B101" s="32" t="s">
        <v>252</v>
      </c>
      <c r="C101" s="32" t="s">
        <v>303</v>
      </c>
      <c r="D101" s="32"/>
      <c r="E101" s="32"/>
      <c r="F101" s="32"/>
      <c r="G101" s="32"/>
      <c r="H101" s="32"/>
      <c r="I101" s="32"/>
      <c r="J101" s="32"/>
      <c r="K101" s="100"/>
      <c r="L101" s="32"/>
      <c r="M101" s="32"/>
      <c r="N101" s="32"/>
      <c r="O101" s="32"/>
      <c r="P101" s="32"/>
    </row>
    <row r="102" spans="1:16" s="102" customFormat="1" ht="12.75">
      <c r="A102" s="32"/>
      <c r="B102" s="32" t="s">
        <v>304</v>
      </c>
      <c r="C102" s="32" t="s">
        <v>305</v>
      </c>
      <c r="D102" s="32"/>
      <c r="E102" s="32"/>
      <c r="F102" s="32"/>
      <c r="G102" s="32"/>
      <c r="H102" s="32"/>
      <c r="I102" s="32"/>
      <c r="J102" s="32"/>
      <c r="K102" s="100"/>
      <c r="L102" s="32"/>
      <c r="M102" s="32"/>
      <c r="N102" s="32"/>
      <c r="O102" s="32"/>
      <c r="P102" s="32"/>
    </row>
    <row r="103" spans="1:16" s="99" customFormat="1" ht="12.75">
      <c r="A103" s="32"/>
      <c r="B103" s="32" t="s">
        <v>278</v>
      </c>
      <c r="C103" s="32" t="s">
        <v>306</v>
      </c>
      <c r="E103" s="32"/>
      <c r="F103" s="32"/>
      <c r="G103" s="32"/>
      <c r="H103" s="32"/>
      <c r="I103" s="32"/>
      <c r="J103" s="32"/>
      <c r="K103" s="100"/>
      <c r="L103" s="32"/>
      <c r="M103" s="32"/>
      <c r="N103" s="32"/>
      <c r="O103" s="32"/>
      <c r="P103" s="32"/>
    </row>
    <row r="104" spans="2:16" s="3" customFormat="1" ht="28.5" customHeight="1">
      <c r="B104" s="337" t="s">
        <v>294</v>
      </c>
      <c r="C104" s="337"/>
      <c r="D104" s="337"/>
      <c r="E104" s="337"/>
      <c r="F104" s="337"/>
      <c r="G104" s="337"/>
      <c r="H104" s="337"/>
      <c r="I104" s="337"/>
      <c r="J104" s="337"/>
      <c r="K104" s="337"/>
      <c r="L104" s="337"/>
      <c r="M104" s="337"/>
      <c r="N104" s="337"/>
      <c r="O104" s="337"/>
      <c r="P104" s="337"/>
    </row>
    <row r="105" spans="2:16" s="32" customFormat="1" ht="30" customHeight="1">
      <c r="B105" s="426" t="s">
        <v>295</v>
      </c>
      <c r="C105" s="427"/>
      <c r="D105" s="427"/>
      <c r="E105" s="427"/>
      <c r="F105" s="427"/>
      <c r="G105" s="427"/>
      <c r="H105" s="427"/>
      <c r="I105" s="427"/>
      <c r="J105" s="427"/>
      <c r="K105" s="427"/>
      <c r="L105" s="427"/>
      <c r="M105" s="427"/>
      <c r="N105" s="427"/>
      <c r="O105" s="427"/>
      <c r="P105" s="427"/>
    </row>
    <row r="106" spans="2:16" ht="12.75">
      <c r="B106" s="427" t="s">
        <v>289</v>
      </c>
      <c r="C106" s="427"/>
      <c r="D106" s="427"/>
      <c r="E106" s="427"/>
      <c r="F106" s="427"/>
      <c r="G106" s="427"/>
      <c r="H106" s="427"/>
      <c r="I106" s="427"/>
      <c r="J106" s="427"/>
      <c r="K106" s="427"/>
      <c r="L106" s="427"/>
      <c r="M106" s="427"/>
      <c r="N106" s="427"/>
      <c r="O106" s="427"/>
      <c r="P106" s="427"/>
    </row>
    <row r="107" spans="2:16" ht="26.25" customHeight="1">
      <c r="B107" s="427" t="s">
        <v>290</v>
      </c>
      <c r="C107" s="427"/>
      <c r="D107" s="427"/>
      <c r="E107" s="427"/>
      <c r="F107" s="427"/>
      <c r="G107" s="427"/>
      <c r="H107" s="427"/>
      <c r="I107" s="427"/>
      <c r="J107" s="427"/>
      <c r="K107" s="427"/>
      <c r="L107" s="427"/>
      <c r="M107" s="427"/>
      <c r="N107" s="427"/>
      <c r="O107" s="427"/>
      <c r="P107" s="427"/>
    </row>
  </sheetData>
  <sheetProtection/>
  <mergeCells count="21">
    <mergeCell ref="I9:N9"/>
    <mergeCell ref="C9:C11"/>
    <mergeCell ref="D9:D11"/>
    <mergeCell ref="O8:P10"/>
    <mergeCell ref="A12:B12"/>
    <mergeCell ref="A4:P4"/>
    <mergeCell ref="M10:N10"/>
    <mergeCell ref="A8:B11"/>
    <mergeCell ref="E10:F10"/>
    <mergeCell ref="G10:H10"/>
    <mergeCell ref="E9:H9"/>
    <mergeCell ref="B104:P104"/>
    <mergeCell ref="B105:P105"/>
    <mergeCell ref="B106:P106"/>
    <mergeCell ref="B107:P107"/>
    <mergeCell ref="A3:P3"/>
    <mergeCell ref="A14:B14"/>
    <mergeCell ref="I10:J10"/>
    <mergeCell ref="K10:L10"/>
    <mergeCell ref="C8:N8"/>
    <mergeCell ref="A13:B13"/>
  </mergeCells>
  <printOptions/>
  <pageMargins left="0.75" right="0.5" top="1" bottom="0.5" header="0.5" footer="0.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X314"/>
  <sheetViews>
    <sheetView zoomScale="90" zoomScaleNormal="90" zoomScalePageLayoutView="0" workbookViewId="0" topLeftCell="A4">
      <pane ySplit="4995" topLeftCell="A102" activePane="bottomLeft" state="split"/>
      <selection pane="topLeft" activeCell="S8" sqref="S8"/>
      <selection pane="bottomLeft" activeCell="C14" sqref="C14:R14"/>
    </sheetView>
  </sheetViews>
  <sheetFormatPr defaultColWidth="9.140625" defaultRowHeight="12.75"/>
  <cols>
    <col min="1" max="1" width="3.28125" style="1" customWidth="1"/>
    <col min="2" max="2" width="17.57421875" style="21" customWidth="1"/>
    <col min="3" max="3" width="10.57421875" style="1" customWidth="1"/>
    <col min="4" max="4" width="7.28125" style="1" customWidth="1"/>
    <col min="5" max="5" width="10.57421875" style="1" customWidth="1"/>
    <col min="6" max="6" width="7.140625" style="1" customWidth="1"/>
    <col min="7" max="7" width="6.7109375" style="1" customWidth="1"/>
    <col min="8" max="8" width="6.8515625" style="1" customWidth="1"/>
    <col min="9" max="9" width="7.00390625" style="1" customWidth="1"/>
    <col min="10" max="10" width="7.140625" style="1" customWidth="1"/>
    <col min="11" max="11" width="9.7109375" style="1" customWidth="1"/>
    <col min="12" max="12" width="7.8515625" style="1" customWidth="1"/>
    <col min="13" max="13" width="10.28125" style="1" customWidth="1"/>
    <col min="14" max="14" width="7.7109375" style="1" customWidth="1"/>
    <col min="15" max="15" width="6.7109375" style="1" customWidth="1"/>
    <col min="16" max="16" width="6.28125" style="1" customWidth="1"/>
    <col min="17" max="17" width="6.421875" style="46" customWidth="1"/>
    <col min="18" max="18" width="6.28125" style="46" customWidth="1"/>
    <col min="19" max="16384" width="9.140625" style="177" customWidth="1"/>
  </cols>
  <sheetData>
    <row r="1" spans="1:18" ht="19.5" customHeight="1">
      <c r="A1" s="49" t="s">
        <v>7</v>
      </c>
      <c r="B1" s="77"/>
      <c r="C1" s="49"/>
      <c r="D1" s="49"/>
      <c r="E1" s="26"/>
      <c r="F1" s="26"/>
      <c r="G1" s="26"/>
      <c r="H1" s="26"/>
      <c r="I1" s="26"/>
      <c r="J1" s="26"/>
      <c r="K1" s="26"/>
      <c r="L1" s="26"/>
      <c r="M1" s="26"/>
      <c r="N1" s="26"/>
      <c r="O1" s="26"/>
      <c r="P1" s="26"/>
      <c r="Q1" s="26"/>
      <c r="R1" s="26"/>
    </row>
    <row r="2" spans="1:50" s="15" customFormat="1" ht="18.75">
      <c r="A2" s="293" t="s">
        <v>157</v>
      </c>
      <c r="B2" s="293"/>
      <c r="C2" s="293"/>
      <c r="D2" s="293"/>
      <c r="E2" s="293"/>
      <c r="F2" s="293"/>
      <c r="G2" s="293"/>
      <c r="H2" s="293"/>
      <c r="I2" s="293"/>
      <c r="J2" s="293"/>
      <c r="K2" s="293"/>
      <c r="L2" s="293"/>
      <c r="M2" s="293"/>
      <c r="N2" s="293"/>
      <c r="O2" s="293"/>
      <c r="P2" s="293"/>
      <c r="Q2" s="293"/>
      <c r="R2" s="293"/>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row>
    <row r="3" spans="1:50" s="15" customFormat="1" ht="18.75">
      <c r="A3" s="303" t="s">
        <v>156</v>
      </c>
      <c r="B3" s="303"/>
      <c r="C3" s="303"/>
      <c r="D3" s="303"/>
      <c r="E3" s="303"/>
      <c r="F3" s="303"/>
      <c r="G3" s="303"/>
      <c r="H3" s="303"/>
      <c r="I3" s="303"/>
      <c r="J3" s="303"/>
      <c r="K3" s="303"/>
      <c r="L3" s="303"/>
      <c r="M3" s="303"/>
      <c r="N3" s="303"/>
      <c r="O3" s="303"/>
      <c r="P3" s="303"/>
      <c r="Q3" s="303"/>
      <c r="R3" s="303"/>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s="15" customFormat="1" ht="21.75" customHeight="1">
      <c r="A4" s="293" t="s">
        <v>282</v>
      </c>
      <c r="B4" s="294"/>
      <c r="C4" s="294"/>
      <c r="D4" s="294"/>
      <c r="E4" s="294"/>
      <c r="F4" s="294"/>
      <c r="G4" s="294"/>
      <c r="H4" s="294"/>
      <c r="I4" s="294"/>
      <c r="J4" s="294"/>
      <c r="K4" s="294"/>
      <c r="L4" s="294"/>
      <c r="M4" s="294"/>
      <c r="N4" s="294"/>
      <c r="O4" s="294"/>
      <c r="P4" s="294"/>
      <c r="Q4" s="294"/>
      <c r="R4" s="294"/>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18" ht="15.75">
      <c r="A5" s="16"/>
      <c r="B5" s="16"/>
      <c r="C5" s="38"/>
      <c r="D5" s="38"/>
      <c r="E5" s="20"/>
      <c r="F5" s="20"/>
      <c r="G5" s="20"/>
      <c r="H5" s="20"/>
      <c r="I5" s="20"/>
      <c r="J5" s="20"/>
      <c r="K5" s="20"/>
      <c r="L5" s="20"/>
      <c r="M5" s="20"/>
      <c r="N5" s="20"/>
      <c r="O5" s="20"/>
      <c r="P5" s="20"/>
      <c r="Q5" s="20"/>
      <c r="R5" s="20"/>
    </row>
    <row r="6" spans="1:18" ht="15.75" customHeight="1">
      <c r="A6" s="2"/>
      <c r="B6" s="2"/>
      <c r="C6" s="39"/>
      <c r="D6" s="39"/>
      <c r="E6" s="20"/>
      <c r="F6" s="20"/>
      <c r="G6" s="20"/>
      <c r="H6" s="20"/>
      <c r="I6" s="20"/>
      <c r="J6" s="20"/>
      <c r="K6" s="20"/>
      <c r="L6" s="20"/>
      <c r="N6" s="20"/>
      <c r="O6" s="20"/>
      <c r="P6" s="41" t="s">
        <v>45</v>
      </c>
      <c r="Q6" s="202"/>
      <c r="R6" s="20"/>
    </row>
    <row r="7" spans="1:18" ht="26.25" customHeight="1">
      <c r="A7" s="302"/>
      <c r="B7" s="282"/>
      <c r="C7" s="281" t="s">
        <v>153</v>
      </c>
      <c r="D7" s="313"/>
      <c r="E7" s="313"/>
      <c r="F7" s="313"/>
      <c r="G7" s="313"/>
      <c r="H7" s="313"/>
      <c r="I7" s="313"/>
      <c r="J7" s="282"/>
      <c r="K7" s="310" t="s">
        <v>154</v>
      </c>
      <c r="L7" s="311"/>
      <c r="M7" s="311"/>
      <c r="N7" s="311"/>
      <c r="O7" s="311"/>
      <c r="P7" s="311"/>
      <c r="Q7" s="311"/>
      <c r="R7" s="312"/>
    </row>
    <row r="8" spans="1:18" ht="12.75" customHeight="1">
      <c r="A8" s="283"/>
      <c r="B8" s="284"/>
      <c r="C8" s="298" t="s">
        <v>36</v>
      </c>
      <c r="D8" s="298"/>
      <c r="E8" s="298"/>
      <c r="F8" s="305" t="s">
        <v>37</v>
      </c>
      <c r="G8" s="305"/>
      <c r="H8" s="305"/>
      <c r="I8" s="306"/>
      <c r="J8" s="289" t="s">
        <v>8</v>
      </c>
      <c r="K8" s="304" t="s">
        <v>39</v>
      </c>
      <c r="L8" s="305"/>
      <c r="M8" s="306"/>
      <c r="N8" s="304" t="s">
        <v>37</v>
      </c>
      <c r="O8" s="305"/>
      <c r="P8" s="305"/>
      <c r="Q8" s="306"/>
      <c r="R8" s="289" t="s">
        <v>8</v>
      </c>
    </row>
    <row r="9" spans="1:18" ht="12.75" customHeight="1">
      <c r="A9" s="283"/>
      <c r="B9" s="284"/>
      <c r="C9" s="298"/>
      <c r="D9" s="298"/>
      <c r="E9" s="298"/>
      <c r="F9" s="308"/>
      <c r="G9" s="308"/>
      <c r="H9" s="308"/>
      <c r="I9" s="309"/>
      <c r="J9" s="290"/>
      <c r="K9" s="316"/>
      <c r="L9" s="315"/>
      <c r="M9" s="318"/>
      <c r="N9" s="307"/>
      <c r="O9" s="308"/>
      <c r="P9" s="308"/>
      <c r="Q9" s="309"/>
      <c r="R9" s="290"/>
    </row>
    <row r="10" spans="1:18" ht="12.75" customHeight="1">
      <c r="A10" s="283"/>
      <c r="B10" s="284"/>
      <c r="C10" s="298"/>
      <c r="D10" s="298"/>
      <c r="E10" s="298"/>
      <c r="F10" s="305" t="s">
        <v>9</v>
      </c>
      <c r="G10" s="287" t="s">
        <v>44</v>
      </c>
      <c r="H10" s="317"/>
      <c r="I10" s="288"/>
      <c r="J10" s="290"/>
      <c r="K10" s="316"/>
      <c r="L10" s="315"/>
      <c r="M10" s="318"/>
      <c r="N10" s="304" t="s">
        <v>9</v>
      </c>
      <c r="O10" s="287" t="s">
        <v>44</v>
      </c>
      <c r="P10" s="317"/>
      <c r="Q10" s="288"/>
      <c r="R10" s="290"/>
    </row>
    <row r="11" spans="1:18" ht="31.5" customHeight="1">
      <c r="A11" s="283"/>
      <c r="B11" s="284"/>
      <c r="C11" s="298" t="s">
        <v>9</v>
      </c>
      <c r="D11" s="298" t="s">
        <v>44</v>
      </c>
      <c r="E11" s="298"/>
      <c r="F11" s="315"/>
      <c r="G11" s="287" t="s">
        <v>99</v>
      </c>
      <c r="H11" s="288"/>
      <c r="I11" s="289" t="s">
        <v>100</v>
      </c>
      <c r="J11" s="290"/>
      <c r="K11" s="298" t="s">
        <v>9</v>
      </c>
      <c r="L11" s="298" t="s">
        <v>44</v>
      </c>
      <c r="M11" s="298"/>
      <c r="N11" s="316"/>
      <c r="O11" s="287" t="s">
        <v>99</v>
      </c>
      <c r="P11" s="288"/>
      <c r="Q11" s="289" t="s">
        <v>274</v>
      </c>
      <c r="R11" s="290"/>
    </row>
    <row r="12" spans="1:18" ht="102.75" customHeight="1">
      <c r="A12" s="285"/>
      <c r="B12" s="286"/>
      <c r="C12" s="298"/>
      <c r="D12" s="37" t="s">
        <v>155</v>
      </c>
      <c r="E12" s="37" t="s">
        <v>279</v>
      </c>
      <c r="F12" s="308"/>
      <c r="G12" s="37" t="s">
        <v>9</v>
      </c>
      <c r="H12" s="37" t="s">
        <v>38</v>
      </c>
      <c r="I12" s="295"/>
      <c r="J12" s="295"/>
      <c r="K12" s="298"/>
      <c r="L12" s="37" t="s">
        <v>155</v>
      </c>
      <c r="M12" s="37" t="s">
        <v>279</v>
      </c>
      <c r="N12" s="307"/>
      <c r="O12" s="37" t="s">
        <v>9</v>
      </c>
      <c r="P12" s="37" t="s">
        <v>38</v>
      </c>
      <c r="Q12" s="295"/>
      <c r="R12" s="295"/>
    </row>
    <row r="13" spans="1:18" ht="12.75">
      <c r="A13" s="298" t="s">
        <v>40</v>
      </c>
      <c r="B13" s="298"/>
      <c r="C13" s="43">
        <v>1</v>
      </c>
      <c r="D13" s="43">
        <v>2</v>
      </c>
      <c r="E13" s="43">
        <v>3</v>
      </c>
      <c r="F13" s="43">
        <v>4</v>
      </c>
      <c r="G13" s="43">
        <v>5</v>
      </c>
      <c r="H13" s="43">
        <v>6</v>
      </c>
      <c r="I13" s="43">
        <v>7</v>
      </c>
      <c r="J13" s="43">
        <v>8</v>
      </c>
      <c r="K13" s="43">
        <v>9</v>
      </c>
      <c r="L13" s="43">
        <v>10</v>
      </c>
      <c r="M13" s="43">
        <v>11</v>
      </c>
      <c r="N13" s="43">
        <v>12</v>
      </c>
      <c r="O13" s="43">
        <v>13</v>
      </c>
      <c r="P13" s="43">
        <v>14</v>
      </c>
      <c r="Q13" s="43">
        <v>15</v>
      </c>
      <c r="R13" s="43">
        <v>16</v>
      </c>
    </row>
    <row r="14" spans="1:18" ht="32.25" customHeight="1">
      <c r="A14" s="314" t="s">
        <v>97</v>
      </c>
      <c r="B14" s="276"/>
      <c r="C14" s="203">
        <f aca="true" t="shared" si="0" ref="C14:R14">C15+C37</f>
        <v>1140498</v>
      </c>
      <c r="D14" s="203">
        <f t="shared" si="0"/>
        <v>36456</v>
      </c>
      <c r="E14" s="203">
        <f t="shared" si="0"/>
        <v>1103331</v>
      </c>
      <c r="F14" s="203">
        <f t="shared" si="0"/>
        <v>6609</v>
      </c>
      <c r="G14" s="203">
        <f t="shared" si="0"/>
        <v>2163</v>
      </c>
      <c r="H14" s="203">
        <f t="shared" si="0"/>
        <v>376</v>
      </c>
      <c r="I14" s="203">
        <f t="shared" si="0"/>
        <v>4438</v>
      </c>
      <c r="J14" s="204">
        <f t="shared" si="0"/>
        <v>3282</v>
      </c>
      <c r="K14" s="203">
        <f t="shared" si="0"/>
        <v>1888839</v>
      </c>
      <c r="L14" s="203">
        <f t="shared" si="0"/>
        <v>41549</v>
      </c>
      <c r="M14" s="203">
        <f t="shared" si="0"/>
        <v>1845923</v>
      </c>
      <c r="N14" s="203">
        <f t="shared" si="0"/>
        <v>11450</v>
      </c>
      <c r="O14" s="203">
        <f t="shared" si="0"/>
        <v>8051</v>
      </c>
      <c r="P14" s="203">
        <f t="shared" si="0"/>
        <v>1361</v>
      </c>
      <c r="Q14" s="203">
        <f t="shared" si="0"/>
        <v>3397</v>
      </c>
      <c r="R14" s="203">
        <f t="shared" si="0"/>
        <v>8205</v>
      </c>
    </row>
    <row r="15" spans="1:18" ht="30.75" customHeight="1">
      <c r="A15" s="276" t="s">
        <v>87</v>
      </c>
      <c r="B15" s="277"/>
      <c r="C15" s="205">
        <f aca="true" t="shared" si="1" ref="C15:R15">SUM(C16:C36)</f>
        <v>2679</v>
      </c>
      <c r="D15" s="205">
        <f t="shared" si="1"/>
        <v>658</v>
      </c>
      <c r="E15" s="205">
        <f t="shared" si="1"/>
        <v>1996</v>
      </c>
      <c r="F15" s="205">
        <f t="shared" si="1"/>
        <v>7</v>
      </c>
      <c r="G15" s="205">
        <f t="shared" si="1"/>
        <v>1</v>
      </c>
      <c r="H15" s="205">
        <f t="shared" si="1"/>
        <v>1</v>
      </c>
      <c r="I15" s="260">
        <f t="shared" si="1"/>
        <v>0</v>
      </c>
      <c r="J15" s="206">
        <f t="shared" si="1"/>
        <v>6</v>
      </c>
      <c r="K15" s="205">
        <f t="shared" si="1"/>
        <v>5241</v>
      </c>
      <c r="L15" s="205">
        <f t="shared" si="1"/>
        <v>5238</v>
      </c>
      <c r="M15" s="205">
        <f t="shared" si="1"/>
        <v>3</v>
      </c>
      <c r="N15" s="205">
        <f t="shared" si="1"/>
        <v>936</v>
      </c>
      <c r="O15" s="205">
        <f t="shared" si="1"/>
        <v>926</v>
      </c>
      <c r="P15" s="205">
        <f t="shared" si="1"/>
        <v>323</v>
      </c>
      <c r="Q15" s="205">
        <f t="shared" si="1"/>
        <v>8</v>
      </c>
      <c r="R15" s="205">
        <f t="shared" si="1"/>
        <v>905</v>
      </c>
    </row>
    <row r="16" spans="1:18" ht="15.75">
      <c r="A16" s="87">
        <v>1</v>
      </c>
      <c r="B16" s="120" t="s">
        <v>228</v>
      </c>
      <c r="C16" s="110">
        <f>D16+E16</f>
        <v>68</v>
      </c>
      <c r="D16" s="110">
        <v>68</v>
      </c>
      <c r="E16" s="110"/>
      <c r="F16" s="90">
        <v>6</v>
      </c>
      <c r="G16" s="89"/>
      <c r="H16" s="90"/>
      <c r="I16" s="90"/>
      <c r="J16" s="124">
        <v>6</v>
      </c>
      <c r="K16" s="90">
        <f>L16+M16</f>
        <v>52</v>
      </c>
      <c r="L16" s="90">
        <v>52</v>
      </c>
      <c r="M16" s="89"/>
      <c r="N16" s="90">
        <v>2</v>
      </c>
      <c r="O16" s="110"/>
      <c r="P16" s="90"/>
      <c r="Q16" s="89"/>
      <c r="R16" s="257">
        <v>0</v>
      </c>
    </row>
    <row r="17" spans="1:18" ht="12.75">
      <c r="A17" s="87">
        <v>2</v>
      </c>
      <c r="B17" s="120" t="s">
        <v>192</v>
      </c>
      <c r="C17" s="110"/>
      <c r="D17" s="261"/>
      <c r="E17" s="110"/>
      <c r="F17" s="90"/>
      <c r="G17" s="89"/>
      <c r="H17" s="89"/>
      <c r="I17" s="89"/>
      <c r="J17" s="125"/>
      <c r="K17" s="90"/>
      <c r="L17" s="90"/>
      <c r="M17" s="89"/>
      <c r="N17" s="90"/>
      <c r="O17" s="110"/>
      <c r="P17" s="90"/>
      <c r="Q17" s="89"/>
      <c r="R17" s="89"/>
    </row>
    <row r="18" spans="1:18" ht="25.5">
      <c r="A18" s="87">
        <v>3</v>
      </c>
      <c r="B18" s="120" t="s">
        <v>193</v>
      </c>
      <c r="C18" s="110"/>
      <c r="D18" s="261"/>
      <c r="E18" s="110"/>
      <c r="F18" s="90"/>
      <c r="G18" s="89"/>
      <c r="H18" s="90"/>
      <c r="I18" s="90"/>
      <c r="J18" s="124"/>
      <c r="K18" s="90"/>
      <c r="L18" s="90"/>
      <c r="M18" s="89"/>
      <c r="N18" s="90"/>
      <c r="O18" s="110"/>
      <c r="P18" s="90"/>
      <c r="Q18" s="89"/>
      <c r="R18" s="89"/>
    </row>
    <row r="19" spans="1:18" ht="25.5">
      <c r="A19" s="87">
        <v>4</v>
      </c>
      <c r="B19" s="120" t="s">
        <v>194</v>
      </c>
      <c r="C19" s="110">
        <f>D19+E19</f>
        <v>82</v>
      </c>
      <c r="D19" s="261">
        <v>82</v>
      </c>
      <c r="E19" s="257">
        <v>0</v>
      </c>
      <c r="F19" s="257">
        <v>0</v>
      </c>
      <c r="G19" s="257">
        <v>0</v>
      </c>
      <c r="H19" s="257">
        <v>0</v>
      </c>
      <c r="I19" s="257">
        <v>0</v>
      </c>
      <c r="J19" s="257">
        <v>0</v>
      </c>
      <c r="K19" s="90">
        <f>L19+M19</f>
        <v>82</v>
      </c>
      <c r="L19" s="90">
        <v>82</v>
      </c>
      <c r="M19" s="257">
        <v>0</v>
      </c>
      <c r="N19" s="257">
        <v>0</v>
      </c>
      <c r="O19" s="257">
        <v>0</v>
      </c>
      <c r="P19" s="257">
        <v>0</v>
      </c>
      <c r="Q19" s="257">
        <v>0</v>
      </c>
      <c r="R19" s="257">
        <v>0</v>
      </c>
    </row>
    <row r="20" spans="1:18" ht="25.5">
      <c r="A20" s="87">
        <v>5</v>
      </c>
      <c r="B20" s="120" t="s">
        <v>195</v>
      </c>
      <c r="C20" s="110"/>
      <c r="D20" s="261"/>
      <c r="E20" s="110"/>
      <c r="F20" s="90"/>
      <c r="G20" s="89"/>
      <c r="H20" s="90"/>
      <c r="I20" s="90"/>
      <c r="J20" s="124"/>
      <c r="K20" s="90"/>
      <c r="L20" s="90"/>
      <c r="M20" s="89"/>
      <c r="N20" s="90"/>
      <c r="O20" s="110"/>
      <c r="P20" s="90"/>
      <c r="Q20" s="89"/>
      <c r="R20" s="89"/>
    </row>
    <row r="21" spans="1:18" ht="25.5">
      <c r="A21" s="87">
        <v>6</v>
      </c>
      <c r="B21" s="120" t="s">
        <v>196</v>
      </c>
      <c r="C21" s="110"/>
      <c r="D21" s="261"/>
      <c r="E21" s="110"/>
      <c r="F21" s="90"/>
      <c r="G21" s="89"/>
      <c r="H21" s="90"/>
      <c r="I21" s="90"/>
      <c r="J21" s="124"/>
      <c r="K21" s="90"/>
      <c r="L21" s="90"/>
      <c r="M21" s="89"/>
      <c r="N21" s="90"/>
      <c r="O21" s="110"/>
      <c r="P21" s="90"/>
      <c r="Q21" s="89"/>
      <c r="R21" s="89"/>
    </row>
    <row r="22" spans="1:18" ht="38.25">
      <c r="A22" s="87">
        <v>7</v>
      </c>
      <c r="B22" s="120" t="s">
        <v>197</v>
      </c>
      <c r="C22" s="110"/>
      <c r="D22" s="261"/>
      <c r="E22" s="110"/>
      <c r="F22" s="90"/>
      <c r="G22" s="89"/>
      <c r="H22" s="90"/>
      <c r="I22" s="90"/>
      <c r="J22" s="124"/>
      <c r="K22" s="90"/>
      <c r="L22" s="90"/>
      <c r="M22" s="89"/>
      <c r="N22" s="90"/>
      <c r="O22" s="110"/>
      <c r="P22" s="110"/>
      <c r="Q22" s="110"/>
      <c r="R22" s="110"/>
    </row>
    <row r="23" spans="1:18" ht="12.75">
      <c r="A23" s="87">
        <v>8</v>
      </c>
      <c r="B23" s="120" t="s">
        <v>198</v>
      </c>
      <c r="C23" s="110">
        <v>25</v>
      </c>
      <c r="D23" s="261"/>
      <c r="E23" s="110"/>
      <c r="F23" s="90"/>
      <c r="G23" s="89"/>
      <c r="H23" s="90"/>
      <c r="I23" s="90"/>
      <c r="J23" s="124"/>
      <c r="K23" s="90"/>
      <c r="L23" s="90"/>
      <c r="M23" s="89"/>
      <c r="N23" s="90"/>
      <c r="O23" s="110"/>
      <c r="P23" s="90"/>
      <c r="Q23" s="89"/>
      <c r="R23" s="89"/>
    </row>
    <row r="24" spans="1:18" ht="12.75">
      <c r="A24" s="87">
        <v>9</v>
      </c>
      <c r="B24" s="120" t="s">
        <v>199</v>
      </c>
      <c r="C24" s="110"/>
      <c r="D24" s="90"/>
      <c r="E24" s="90"/>
      <c r="F24" s="90"/>
      <c r="G24" s="90"/>
      <c r="H24" s="90"/>
      <c r="I24" s="90"/>
      <c r="J24" s="124"/>
      <c r="K24" s="90"/>
      <c r="L24" s="90"/>
      <c r="M24" s="89"/>
      <c r="N24" s="90"/>
      <c r="O24" s="110"/>
      <c r="P24" s="90"/>
      <c r="Q24" s="89"/>
      <c r="R24" s="89"/>
    </row>
    <row r="25" spans="1:18" ht="25.5">
      <c r="A25" s="87">
        <v>10</v>
      </c>
      <c r="B25" s="120" t="s">
        <v>200</v>
      </c>
      <c r="C25" s="110">
        <f>D25+E25</f>
        <v>52</v>
      </c>
      <c r="D25" s="261">
        <v>52</v>
      </c>
      <c r="E25" s="257">
        <v>0</v>
      </c>
      <c r="F25" s="90">
        <f>G25+I25</f>
        <v>1</v>
      </c>
      <c r="G25" s="89">
        <v>1</v>
      </c>
      <c r="H25" s="90">
        <v>1</v>
      </c>
      <c r="I25" s="257">
        <v>0</v>
      </c>
      <c r="J25" s="124"/>
      <c r="K25" s="90">
        <f>L25+M25</f>
        <v>115</v>
      </c>
      <c r="L25" s="90">
        <v>115</v>
      </c>
      <c r="M25" s="89"/>
      <c r="N25" s="90">
        <f>O25+Q25</f>
        <v>23</v>
      </c>
      <c r="O25" s="110">
        <v>23</v>
      </c>
      <c r="P25" s="90">
        <v>4</v>
      </c>
      <c r="Q25" s="89"/>
      <c r="R25" s="89">
        <v>23</v>
      </c>
    </row>
    <row r="26" spans="1:18" ht="15.75">
      <c r="A26" s="87">
        <v>11</v>
      </c>
      <c r="B26" s="120" t="s">
        <v>230</v>
      </c>
      <c r="C26" s="110">
        <f>D26+E26</f>
        <v>225</v>
      </c>
      <c r="D26" s="261">
        <v>225</v>
      </c>
      <c r="E26" s="257">
        <v>0</v>
      </c>
      <c r="F26" s="257">
        <v>0</v>
      </c>
      <c r="G26" s="257">
        <v>0</v>
      </c>
      <c r="H26" s="257">
        <v>0</v>
      </c>
      <c r="I26" s="257">
        <v>0</v>
      </c>
      <c r="J26" s="257">
        <v>0</v>
      </c>
      <c r="K26" s="90">
        <f>L26+M26</f>
        <v>225</v>
      </c>
      <c r="L26" s="74">
        <v>225</v>
      </c>
      <c r="M26" s="257">
        <v>0</v>
      </c>
      <c r="N26" s="257">
        <v>0</v>
      </c>
      <c r="O26" s="257">
        <v>0</v>
      </c>
      <c r="P26" s="257">
        <v>0</v>
      </c>
      <c r="Q26" s="257">
        <v>0</v>
      </c>
      <c r="R26" s="257">
        <v>0</v>
      </c>
    </row>
    <row r="27" spans="1:18" ht="15.75">
      <c r="A27" s="87">
        <v>12</v>
      </c>
      <c r="B27" s="120" t="s">
        <v>184</v>
      </c>
      <c r="C27" s="110">
        <f>D27+E27</f>
        <v>2163</v>
      </c>
      <c r="D27" s="261">
        <v>167</v>
      </c>
      <c r="E27" s="110">
        <v>1996</v>
      </c>
      <c r="F27" s="257">
        <v>0</v>
      </c>
      <c r="G27" s="257">
        <v>0</v>
      </c>
      <c r="H27" s="257">
        <v>0</v>
      </c>
      <c r="I27" s="257">
        <v>0</v>
      </c>
      <c r="J27" s="257">
        <v>0</v>
      </c>
      <c r="K27" s="90">
        <f>L27+M27</f>
        <v>681</v>
      </c>
      <c r="L27" s="90">
        <v>681</v>
      </c>
      <c r="M27" s="257">
        <v>0</v>
      </c>
      <c r="N27" s="90">
        <f>O27+Q27</f>
        <v>83</v>
      </c>
      <c r="O27" s="110">
        <v>83</v>
      </c>
      <c r="P27" s="90">
        <v>18</v>
      </c>
      <c r="Q27" s="257">
        <v>0</v>
      </c>
      <c r="R27" s="89">
        <v>83</v>
      </c>
    </row>
    <row r="28" spans="1:18" ht="25.5">
      <c r="A28" s="87">
        <v>13</v>
      </c>
      <c r="B28" s="120" t="s">
        <v>185</v>
      </c>
      <c r="C28" s="110"/>
      <c r="D28" s="261"/>
      <c r="E28" s="110"/>
      <c r="F28" s="90"/>
      <c r="G28" s="89"/>
      <c r="H28" s="90"/>
      <c r="I28" s="90"/>
      <c r="J28" s="124"/>
      <c r="K28" s="90"/>
      <c r="L28" s="90"/>
      <c r="M28" s="89"/>
      <c r="N28" s="90"/>
      <c r="O28" s="110"/>
      <c r="P28" s="90"/>
      <c r="Q28" s="89"/>
      <c r="R28" s="89"/>
    </row>
    <row r="29" spans="1:18" ht="25.5">
      <c r="A29" s="87">
        <v>14</v>
      </c>
      <c r="B29" s="120" t="s">
        <v>186</v>
      </c>
      <c r="C29" s="110"/>
      <c r="D29" s="261"/>
      <c r="E29" s="110"/>
      <c r="F29" s="90"/>
      <c r="G29" s="89"/>
      <c r="H29" s="90"/>
      <c r="I29" s="90"/>
      <c r="J29" s="124"/>
      <c r="K29" s="90"/>
      <c r="L29" s="90"/>
      <c r="M29" s="89"/>
      <c r="N29" s="90"/>
      <c r="O29" s="110"/>
      <c r="P29" s="90"/>
      <c r="Q29" s="89"/>
      <c r="R29" s="89"/>
    </row>
    <row r="30" spans="1:18" ht="15.75">
      <c r="A30" s="87">
        <v>15</v>
      </c>
      <c r="B30" s="104" t="s">
        <v>277</v>
      </c>
      <c r="C30" s="110">
        <f>D30+E30</f>
        <v>22</v>
      </c>
      <c r="D30" s="261">
        <v>22</v>
      </c>
      <c r="E30" s="257">
        <v>0</v>
      </c>
      <c r="F30" s="257">
        <v>0</v>
      </c>
      <c r="G30" s="89"/>
      <c r="H30" s="90"/>
      <c r="I30" s="90"/>
      <c r="J30" s="124"/>
      <c r="K30" s="90">
        <f>L30+M30</f>
        <v>3619</v>
      </c>
      <c r="L30" s="90">
        <v>3616</v>
      </c>
      <c r="M30" s="89">
        <v>3</v>
      </c>
      <c r="N30" s="90">
        <f>O30+Q30</f>
        <v>818</v>
      </c>
      <c r="O30" s="110">
        <v>815</v>
      </c>
      <c r="P30" s="90">
        <v>296</v>
      </c>
      <c r="Q30" s="89">
        <v>3</v>
      </c>
      <c r="R30" s="89">
        <v>794</v>
      </c>
    </row>
    <row r="31" spans="1:18" ht="25.5">
      <c r="A31" s="87">
        <v>16</v>
      </c>
      <c r="B31" s="120" t="s">
        <v>187</v>
      </c>
      <c r="C31" s="110">
        <f>D31+E31</f>
        <v>7</v>
      </c>
      <c r="D31" s="261">
        <v>7</v>
      </c>
      <c r="E31" s="257">
        <v>0</v>
      </c>
      <c r="F31" s="257">
        <v>0</v>
      </c>
      <c r="G31" s="257">
        <v>0</v>
      </c>
      <c r="H31" s="257">
        <v>0</v>
      </c>
      <c r="I31" s="257">
        <v>0</v>
      </c>
      <c r="J31" s="257">
        <v>0</v>
      </c>
      <c r="K31" s="90">
        <f>L31+M31</f>
        <v>394</v>
      </c>
      <c r="L31" s="90">
        <v>394</v>
      </c>
      <c r="M31" s="257">
        <v>0</v>
      </c>
      <c r="N31" s="90">
        <f>O31+Q31</f>
        <v>10</v>
      </c>
      <c r="O31" s="110">
        <v>5</v>
      </c>
      <c r="P31" s="90">
        <v>5</v>
      </c>
      <c r="Q31" s="89">
        <v>5</v>
      </c>
      <c r="R31" s="89">
        <v>5</v>
      </c>
    </row>
    <row r="32" spans="1:18" ht="12.75">
      <c r="A32" s="87">
        <v>17</v>
      </c>
      <c r="B32" s="120" t="s">
        <v>188</v>
      </c>
      <c r="C32" s="110"/>
      <c r="D32" s="261"/>
      <c r="E32" s="110"/>
      <c r="F32" s="90"/>
      <c r="G32" s="89"/>
      <c r="H32" s="90"/>
      <c r="I32" s="90"/>
      <c r="J32" s="124"/>
      <c r="K32" s="90"/>
      <c r="L32" s="90"/>
      <c r="M32" s="89"/>
      <c r="N32" s="90"/>
      <c r="O32" s="110"/>
      <c r="P32" s="90"/>
      <c r="Q32" s="89"/>
      <c r="R32" s="89"/>
    </row>
    <row r="33" spans="1:18" ht="12.75">
      <c r="A33" s="87">
        <v>18</v>
      </c>
      <c r="B33" s="120" t="s">
        <v>227</v>
      </c>
      <c r="C33" s="110"/>
      <c r="D33" s="261"/>
      <c r="E33" s="110"/>
      <c r="F33" s="90"/>
      <c r="G33" s="89"/>
      <c r="H33" s="90"/>
      <c r="I33" s="90"/>
      <c r="J33" s="124"/>
      <c r="K33" s="90"/>
      <c r="L33" s="90"/>
      <c r="M33" s="89"/>
      <c r="N33" s="90"/>
      <c r="O33" s="191"/>
      <c r="P33" s="91"/>
      <c r="Q33" s="91"/>
      <c r="R33" s="91"/>
    </row>
    <row r="34" spans="1:18" ht="25.5">
      <c r="A34" s="87">
        <v>19</v>
      </c>
      <c r="B34" s="121" t="s">
        <v>189</v>
      </c>
      <c r="C34" s="110">
        <f>D34+E34</f>
        <v>35</v>
      </c>
      <c r="D34" s="110">
        <v>35</v>
      </c>
      <c r="E34" s="257">
        <v>0</v>
      </c>
      <c r="F34" s="90"/>
      <c r="G34" s="89"/>
      <c r="H34" s="90"/>
      <c r="I34" s="90"/>
      <c r="J34" s="124"/>
      <c r="K34" s="90">
        <f>L34+M34</f>
        <v>73</v>
      </c>
      <c r="L34" s="90">
        <v>73</v>
      </c>
      <c r="M34" s="257">
        <v>0</v>
      </c>
      <c r="N34" s="90"/>
      <c r="O34" s="257">
        <v>0</v>
      </c>
      <c r="P34" s="257">
        <v>0</v>
      </c>
      <c r="Q34" s="257">
        <v>0</v>
      </c>
      <c r="R34" s="257">
        <v>0</v>
      </c>
    </row>
    <row r="35" spans="1:18" ht="12.75">
      <c r="A35" s="87">
        <v>20</v>
      </c>
      <c r="B35" s="121" t="s">
        <v>190</v>
      </c>
      <c r="C35" s="110"/>
      <c r="D35" s="261"/>
      <c r="E35" s="110"/>
      <c r="F35" s="90"/>
      <c r="G35" s="89"/>
      <c r="H35" s="90"/>
      <c r="I35" s="90"/>
      <c r="J35" s="124"/>
      <c r="K35" s="90"/>
      <c r="L35" s="90"/>
      <c r="M35" s="89"/>
      <c r="N35" s="90"/>
      <c r="O35" s="110"/>
      <c r="P35" s="90"/>
      <c r="Q35" s="89"/>
      <c r="R35" s="89"/>
    </row>
    <row r="36" spans="1:18" ht="12.75">
      <c r="A36" s="87">
        <v>21</v>
      </c>
      <c r="B36" s="121" t="s">
        <v>191</v>
      </c>
      <c r="C36" s="88"/>
      <c r="D36" s="92"/>
      <c r="E36" s="88"/>
      <c r="F36" s="90"/>
      <c r="G36" s="89"/>
      <c r="H36" s="90"/>
      <c r="I36" s="90"/>
      <c r="J36" s="124"/>
      <c r="K36" s="90"/>
      <c r="L36" s="90"/>
      <c r="M36" s="89"/>
      <c r="N36" s="90"/>
      <c r="O36" s="88"/>
      <c r="P36" s="90"/>
      <c r="Q36" s="89"/>
      <c r="R36" s="89"/>
    </row>
    <row r="37" spans="1:18" s="22" customFormat="1" ht="21" customHeight="1">
      <c r="A37" s="276" t="s">
        <v>98</v>
      </c>
      <c r="B37" s="277"/>
      <c r="C37" s="205">
        <f aca="true" t="shared" si="2" ref="C37:R37">SUM(C38:C100)</f>
        <v>1137819</v>
      </c>
      <c r="D37" s="205">
        <f t="shared" si="2"/>
        <v>35798</v>
      </c>
      <c r="E37" s="205">
        <f t="shared" si="2"/>
        <v>1101335</v>
      </c>
      <c r="F37" s="205">
        <f t="shared" si="2"/>
        <v>6602</v>
      </c>
      <c r="G37" s="205">
        <f t="shared" si="2"/>
        <v>2162</v>
      </c>
      <c r="H37" s="205">
        <f t="shared" si="2"/>
        <v>375</v>
      </c>
      <c r="I37" s="205">
        <f t="shared" si="2"/>
        <v>4438</v>
      </c>
      <c r="J37" s="206">
        <f t="shared" si="2"/>
        <v>3276</v>
      </c>
      <c r="K37" s="205">
        <f t="shared" si="2"/>
        <v>1883598</v>
      </c>
      <c r="L37" s="205">
        <f t="shared" si="2"/>
        <v>36311</v>
      </c>
      <c r="M37" s="205">
        <f t="shared" si="2"/>
        <v>1845920</v>
      </c>
      <c r="N37" s="205">
        <f t="shared" si="2"/>
        <v>10514</v>
      </c>
      <c r="O37" s="205">
        <f t="shared" si="2"/>
        <v>7125</v>
      </c>
      <c r="P37" s="205">
        <f t="shared" si="2"/>
        <v>1038</v>
      </c>
      <c r="Q37" s="205">
        <f t="shared" si="2"/>
        <v>3389</v>
      </c>
      <c r="R37" s="205">
        <f t="shared" si="2"/>
        <v>7300</v>
      </c>
    </row>
    <row r="38" spans="1:18" ht="15.75">
      <c r="A38" s="93">
        <v>1</v>
      </c>
      <c r="B38" s="94" t="s">
        <v>167</v>
      </c>
      <c r="C38" s="174">
        <f>D38+E38</f>
        <v>25900</v>
      </c>
      <c r="D38" s="127">
        <v>1172</v>
      </c>
      <c r="E38" s="122">
        <v>24728</v>
      </c>
      <c r="F38" s="187">
        <f>G38+I38</f>
        <v>25</v>
      </c>
      <c r="G38" s="122">
        <v>7</v>
      </c>
      <c r="H38" s="122">
        <v>7</v>
      </c>
      <c r="I38" s="122">
        <v>18</v>
      </c>
      <c r="J38" s="122">
        <v>17</v>
      </c>
      <c r="K38" s="187">
        <f>L38+M38</f>
        <v>8261</v>
      </c>
      <c r="L38" s="122">
        <v>490</v>
      </c>
      <c r="M38" s="122">
        <v>7771</v>
      </c>
      <c r="N38" s="187">
        <f>O38+Q38</f>
        <v>81</v>
      </c>
      <c r="O38" s="122">
        <v>69</v>
      </c>
      <c r="P38" s="122">
        <v>8</v>
      </c>
      <c r="Q38" s="122">
        <v>12</v>
      </c>
      <c r="R38" s="122">
        <v>49</v>
      </c>
    </row>
    <row r="39" spans="1:18" ht="15.75">
      <c r="A39" s="93">
        <v>2</v>
      </c>
      <c r="B39" s="94" t="s">
        <v>251</v>
      </c>
      <c r="C39" s="174">
        <f aca="true" t="shared" si="3" ref="C39:C100">D39+E39</f>
        <v>16258</v>
      </c>
      <c r="D39" s="127">
        <v>373</v>
      </c>
      <c r="E39" s="122">
        <v>15885</v>
      </c>
      <c r="F39" s="187">
        <v>55</v>
      </c>
      <c r="G39" s="122">
        <v>19</v>
      </c>
      <c r="H39" s="122">
        <v>2</v>
      </c>
      <c r="I39" s="122">
        <v>36</v>
      </c>
      <c r="J39" s="122">
        <v>52</v>
      </c>
      <c r="K39" s="187">
        <f aca="true" t="shared" si="4" ref="K39:K100">L39+M39</f>
        <v>6192</v>
      </c>
      <c r="L39" s="122">
        <v>239</v>
      </c>
      <c r="M39" s="122">
        <v>5953</v>
      </c>
      <c r="N39" s="187">
        <f aca="true" t="shared" si="5" ref="N39:N56">O39+Q39</f>
        <v>77</v>
      </c>
      <c r="O39" s="122">
        <v>77</v>
      </c>
      <c r="P39" s="257">
        <v>0</v>
      </c>
      <c r="Q39" s="257">
        <v>0</v>
      </c>
      <c r="R39" s="122">
        <v>75</v>
      </c>
    </row>
    <row r="40" spans="1:18" ht="15.75">
      <c r="A40" s="93">
        <v>3</v>
      </c>
      <c r="B40" s="94" t="s">
        <v>168</v>
      </c>
      <c r="C40" s="174">
        <f t="shared" si="3"/>
        <v>352</v>
      </c>
      <c r="D40" s="127">
        <v>326</v>
      </c>
      <c r="E40" s="122">
        <v>26</v>
      </c>
      <c r="F40" s="187">
        <f aca="true" t="shared" si="6" ref="F40:F100">G40+I40</f>
        <v>59</v>
      </c>
      <c r="G40" s="122">
        <v>34</v>
      </c>
      <c r="H40" s="122">
        <v>5</v>
      </c>
      <c r="I40" s="122">
        <v>25</v>
      </c>
      <c r="J40" s="122">
        <v>41</v>
      </c>
      <c r="K40" s="187">
        <f t="shared" si="4"/>
        <v>324</v>
      </c>
      <c r="L40" s="122">
        <v>276</v>
      </c>
      <c r="M40" s="122">
        <v>48</v>
      </c>
      <c r="N40" s="187">
        <f t="shared" si="5"/>
        <v>166</v>
      </c>
      <c r="O40" s="122">
        <v>118</v>
      </c>
      <c r="P40" s="122">
        <v>40</v>
      </c>
      <c r="Q40" s="122">
        <v>48</v>
      </c>
      <c r="R40" s="122">
        <v>147</v>
      </c>
    </row>
    <row r="41" spans="1:18" ht="15.75">
      <c r="A41" s="93">
        <v>4</v>
      </c>
      <c r="B41" s="94" t="s">
        <v>169</v>
      </c>
      <c r="C41" s="174">
        <f t="shared" si="3"/>
        <v>1516</v>
      </c>
      <c r="D41" s="127">
        <v>523</v>
      </c>
      <c r="E41" s="122">
        <v>993</v>
      </c>
      <c r="F41" s="187">
        <f t="shared" si="6"/>
        <v>17</v>
      </c>
      <c r="G41" s="122">
        <v>17</v>
      </c>
      <c r="H41" s="122">
        <v>2</v>
      </c>
      <c r="I41" s="257">
        <v>0</v>
      </c>
      <c r="J41" s="122">
        <v>17</v>
      </c>
      <c r="K41" s="187">
        <f t="shared" si="4"/>
        <v>591</v>
      </c>
      <c r="L41" s="122">
        <v>463</v>
      </c>
      <c r="M41" s="122">
        <v>128</v>
      </c>
      <c r="N41" s="187">
        <f>O41+Q41</f>
        <v>284</v>
      </c>
      <c r="O41" s="122">
        <v>220</v>
      </c>
      <c r="P41" s="122">
        <v>75</v>
      </c>
      <c r="Q41" s="122">
        <v>64</v>
      </c>
      <c r="R41" s="122">
        <v>132</v>
      </c>
    </row>
    <row r="42" spans="1:18" ht="15.75">
      <c r="A42" s="93">
        <v>5</v>
      </c>
      <c r="B42" s="94" t="s">
        <v>170</v>
      </c>
      <c r="C42" s="174">
        <f t="shared" si="3"/>
        <v>7665</v>
      </c>
      <c r="D42" s="127">
        <v>162</v>
      </c>
      <c r="E42" s="122">
        <v>7503</v>
      </c>
      <c r="F42" s="187">
        <f t="shared" si="6"/>
        <v>34</v>
      </c>
      <c r="G42" s="122">
        <v>21</v>
      </c>
      <c r="H42" s="257">
        <v>0</v>
      </c>
      <c r="I42" s="122">
        <v>13</v>
      </c>
      <c r="J42" s="122">
        <v>24</v>
      </c>
      <c r="K42" s="187">
        <f t="shared" si="4"/>
        <v>251</v>
      </c>
      <c r="L42" s="122">
        <v>104</v>
      </c>
      <c r="M42" s="122">
        <v>147</v>
      </c>
      <c r="N42" s="187">
        <f t="shared" si="5"/>
        <v>45</v>
      </c>
      <c r="O42" s="122">
        <v>38</v>
      </c>
      <c r="P42" s="122">
        <v>8</v>
      </c>
      <c r="Q42" s="122">
        <v>7</v>
      </c>
      <c r="R42" s="122">
        <v>18</v>
      </c>
    </row>
    <row r="43" spans="1:18" s="207" customFormat="1" ht="15.75">
      <c r="A43" s="93">
        <v>6</v>
      </c>
      <c r="B43" s="94" t="s">
        <v>171</v>
      </c>
      <c r="C43" s="174">
        <f t="shared" si="3"/>
        <v>17911</v>
      </c>
      <c r="D43" s="127">
        <v>176</v>
      </c>
      <c r="E43" s="122">
        <v>17735</v>
      </c>
      <c r="F43" s="187">
        <f t="shared" si="6"/>
        <v>37</v>
      </c>
      <c r="G43" s="122">
        <v>28</v>
      </c>
      <c r="H43" s="122">
        <v>9</v>
      </c>
      <c r="I43" s="122">
        <v>9</v>
      </c>
      <c r="J43" s="122">
        <v>5</v>
      </c>
      <c r="K43" s="187">
        <f t="shared" si="4"/>
        <v>5856</v>
      </c>
      <c r="L43" s="122">
        <v>111</v>
      </c>
      <c r="M43" s="122">
        <v>5745</v>
      </c>
      <c r="N43" s="187">
        <f t="shared" si="5"/>
        <v>11</v>
      </c>
      <c r="O43" s="122">
        <v>6</v>
      </c>
      <c r="P43" s="122"/>
      <c r="Q43" s="122">
        <v>5</v>
      </c>
      <c r="R43" s="122">
        <v>1</v>
      </c>
    </row>
    <row r="44" spans="1:18" ht="15.75">
      <c r="A44" s="93">
        <v>7</v>
      </c>
      <c r="B44" s="94" t="s">
        <v>172</v>
      </c>
      <c r="C44" s="174">
        <f t="shared" si="3"/>
        <v>1705</v>
      </c>
      <c r="D44" s="127">
        <v>839</v>
      </c>
      <c r="E44" s="122">
        <v>866</v>
      </c>
      <c r="F44" s="187">
        <f t="shared" si="6"/>
        <v>17</v>
      </c>
      <c r="G44" s="122">
        <v>17</v>
      </c>
      <c r="H44" s="122">
        <v>2</v>
      </c>
      <c r="I44" s="257">
        <v>0</v>
      </c>
      <c r="J44" s="122">
        <v>17</v>
      </c>
      <c r="K44" s="187">
        <f t="shared" si="4"/>
        <v>766</v>
      </c>
      <c r="L44" s="122">
        <v>685</v>
      </c>
      <c r="M44" s="122">
        <v>81</v>
      </c>
      <c r="N44" s="187">
        <f t="shared" si="5"/>
        <v>67</v>
      </c>
      <c r="O44" s="122">
        <v>67</v>
      </c>
      <c r="P44" s="122">
        <v>6</v>
      </c>
      <c r="Q44" s="257">
        <v>0</v>
      </c>
      <c r="R44" s="122">
        <v>66</v>
      </c>
    </row>
    <row r="45" spans="1:18" ht="15.75">
      <c r="A45" s="93">
        <v>8</v>
      </c>
      <c r="B45" s="94" t="s">
        <v>173</v>
      </c>
      <c r="C45" s="174">
        <f t="shared" si="3"/>
        <v>30391</v>
      </c>
      <c r="D45" s="127">
        <v>1204</v>
      </c>
      <c r="E45" s="122">
        <v>29187</v>
      </c>
      <c r="F45" s="187">
        <f t="shared" si="6"/>
        <v>20</v>
      </c>
      <c r="G45" s="122">
        <v>10</v>
      </c>
      <c r="H45" s="122">
        <v>7</v>
      </c>
      <c r="I45" s="122">
        <v>10</v>
      </c>
      <c r="J45" s="122">
        <v>14</v>
      </c>
      <c r="K45" s="187">
        <f t="shared" si="4"/>
        <v>865</v>
      </c>
      <c r="L45" s="122">
        <v>851</v>
      </c>
      <c r="M45" s="122">
        <v>14</v>
      </c>
      <c r="N45" s="187">
        <f t="shared" si="5"/>
        <v>48</v>
      </c>
      <c r="O45" s="122">
        <v>40</v>
      </c>
      <c r="P45" s="122">
        <v>6</v>
      </c>
      <c r="Q45" s="122">
        <v>8</v>
      </c>
      <c r="R45" s="122">
        <v>47</v>
      </c>
    </row>
    <row r="46" spans="1:18" ht="15.75">
      <c r="A46" s="93">
        <v>9</v>
      </c>
      <c r="B46" s="94" t="s">
        <v>174</v>
      </c>
      <c r="C46" s="174">
        <f t="shared" si="3"/>
        <v>16881</v>
      </c>
      <c r="D46" s="127">
        <v>569</v>
      </c>
      <c r="E46" s="122">
        <v>16312</v>
      </c>
      <c r="F46" s="187">
        <f t="shared" si="6"/>
        <v>109</v>
      </c>
      <c r="G46" s="122">
        <v>93</v>
      </c>
      <c r="H46" s="122">
        <v>17</v>
      </c>
      <c r="I46" s="122">
        <v>16</v>
      </c>
      <c r="J46" s="122">
        <v>81</v>
      </c>
      <c r="K46" s="187">
        <f t="shared" si="4"/>
        <v>590</v>
      </c>
      <c r="L46" s="122">
        <v>562</v>
      </c>
      <c r="M46" s="122">
        <v>28</v>
      </c>
      <c r="N46" s="187">
        <f t="shared" si="5"/>
        <v>131</v>
      </c>
      <c r="O46" s="122">
        <v>120</v>
      </c>
      <c r="P46" s="122">
        <v>53</v>
      </c>
      <c r="Q46" s="122">
        <v>11</v>
      </c>
      <c r="R46" s="122">
        <v>114</v>
      </c>
    </row>
    <row r="47" spans="1:18" ht="15.75">
      <c r="A47" s="93">
        <v>10</v>
      </c>
      <c r="B47" s="94" t="s">
        <v>175</v>
      </c>
      <c r="C47" s="174">
        <f t="shared" si="3"/>
        <v>439</v>
      </c>
      <c r="D47" s="127">
        <v>318</v>
      </c>
      <c r="E47" s="122">
        <v>121</v>
      </c>
      <c r="F47" s="187">
        <f t="shared" si="6"/>
        <v>24</v>
      </c>
      <c r="G47" s="122">
        <v>24</v>
      </c>
      <c r="H47" s="122">
        <v>5</v>
      </c>
      <c r="I47" s="257">
        <v>0</v>
      </c>
      <c r="J47" s="122">
        <v>24</v>
      </c>
      <c r="K47" s="187">
        <f t="shared" si="4"/>
        <v>627</v>
      </c>
      <c r="L47" s="122">
        <v>627</v>
      </c>
      <c r="M47" s="257">
        <v>0</v>
      </c>
      <c r="N47" s="187">
        <f t="shared" si="5"/>
        <v>65</v>
      </c>
      <c r="O47" s="122">
        <v>65</v>
      </c>
      <c r="P47" s="122">
        <v>2</v>
      </c>
      <c r="Q47" s="257">
        <v>0</v>
      </c>
      <c r="R47" s="122">
        <v>65</v>
      </c>
    </row>
    <row r="48" spans="1:18" ht="15.75">
      <c r="A48" s="93">
        <v>11</v>
      </c>
      <c r="B48" s="94" t="s">
        <v>176</v>
      </c>
      <c r="C48" s="174">
        <f t="shared" si="3"/>
        <v>40726</v>
      </c>
      <c r="D48" s="127">
        <v>1049</v>
      </c>
      <c r="E48" s="122">
        <v>39677</v>
      </c>
      <c r="F48" s="187">
        <f t="shared" si="6"/>
        <v>100</v>
      </c>
      <c r="G48" s="122">
        <v>41</v>
      </c>
      <c r="H48" s="122">
        <v>11</v>
      </c>
      <c r="I48" s="122">
        <v>59</v>
      </c>
      <c r="J48" s="122">
        <v>88</v>
      </c>
      <c r="K48" s="187">
        <f t="shared" si="4"/>
        <v>25104</v>
      </c>
      <c r="L48" s="122">
        <v>722</v>
      </c>
      <c r="M48" s="122">
        <v>24382</v>
      </c>
      <c r="N48" s="187">
        <f t="shared" si="5"/>
        <v>82</v>
      </c>
      <c r="O48" s="122">
        <v>42</v>
      </c>
      <c r="P48" s="122">
        <v>15</v>
      </c>
      <c r="Q48" s="122">
        <v>40</v>
      </c>
      <c r="R48" s="122">
        <v>73</v>
      </c>
    </row>
    <row r="49" spans="1:18" ht="15.75">
      <c r="A49" s="93">
        <v>12</v>
      </c>
      <c r="B49" s="94" t="s">
        <v>177</v>
      </c>
      <c r="C49" s="174">
        <f t="shared" si="3"/>
        <v>43</v>
      </c>
      <c r="D49" s="127">
        <v>43</v>
      </c>
      <c r="E49" s="257">
        <v>0</v>
      </c>
      <c r="F49" s="187">
        <f>G49+I49</f>
        <v>8</v>
      </c>
      <c r="G49" s="122">
        <v>8</v>
      </c>
      <c r="H49" s="122">
        <v>3</v>
      </c>
      <c r="I49" s="257">
        <v>0</v>
      </c>
      <c r="J49" s="122">
        <v>7</v>
      </c>
      <c r="K49" s="187">
        <f t="shared" si="4"/>
        <v>258</v>
      </c>
      <c r="L49" s="122">
        <v>258</v>
      </c>
      <c r="M49" s="257">
        <v>0</v>
      </c>
      <c r="N49" s="187">
        <f t="shared" si="5"/>
        <v>174</v>
      </c>
      <c r="O49" s="122">
        <v>174</v>
      </c>
      <c r="P49" s="257">
        <v>0</v>
      </c>
      <c r="Q49" s="257">
        <v>0</v>
      </c>
      <c r="R49" s="122">
        <v>174</v>
      </c>
    </row>
    <row r="50" spans="1:18" ht="15.75">
      <c r="A50" s="93">
        <v>13</v>
      </c>
      <c r="B50" s="94" t="s">
        <v>178</v>
      </c>
      <c r="C50" s="174">
        <f t="shared" si="3"/>
        <v>4877</v>
      </c>
      <c r="D50" s="173">
        <v>162</v>
      </c>
      <c r="E50" s="173">
        <v>4715</v>
      </c>
      <c r="F50" s="187">
        <f t="shared" si="6"/>
        <v>15</v>
      </c>
      <c r="G50" s="122">
        <v>15</v>
      </c>
      <c r="H50" s="122">
        <v>1</v>
      </c>
      <c r="I50" s="257">
        <v>0</v>
      </c>
      <c r="J50" s="122">
        <v>14</v>
      </c>
      <c r="K50" s="187">
        <f t="shared" si="4"/>
        <v>701</v>
      </c>
      <c r="L50" s="122">
        <v>29</v>
      </c>
      <c r="M50" s="122">
        <v>672</v>
      </c>
      <c r="N50" s="187">
        <f t="shared" si="5"/>
        <v>54</v>
      </c>
      <c r="O50" s="122"/>
      <c r="P50" s="122"/>
      <c r="Q50" s="122">
        <v>54</v>
      </c>
      <c r="R50" s="122">
        <v>55</v>
      </c>
    </row>
    <row r="51" spans="1:18" ht="15.75">
      <c r="A51" s="93">
        <v>14</v>
      </c>
      <c r="B51" s="94" t="s">
        <v>179</v>
      </c>
      <c r="C51" s="131">
        <f t="shared" si="3"/>
        <v>3509</v>
      </c>
      <c r="D51" s="122">
        <v>63</v>
      </c>
      <c r="E51" s="122">
        <v>3446</v>
      </c>
      <c r="F51" s="208">
        <f>G51+I51</f>
        <v>6</v>
      </c>
      <c r="G51" s="122">
        <v>5</v>
      </c>
      <c r="H51" s="122">
        <v>2</v>
      </c>
      <c r="I51" s="122">
        <v>1</v>
      </c>
      <c r="J51" s="122">
        <v>1</v>
      </c>
      <c r="K51" s="187">
        <f t="shared" si="4"/>
        <v>138</v>
      </c>
      <c r="L51" s="122">
        <v>27</v>
      </c>
      <c r="M51" s="122">
        <v>111</v>
      </c>
      <c r="N51" s="187">
        <f t="shared" si="5"/>
        <v>20</v>
      </c>
      <c r="O51" s="122">
        <v>10</v>
      </c>
      <c r="P51" s="122">
        <v>10</v>
      </c>
      <c r="Q51" s="122">
        <v>10</v>
      </c>
      <c r="R51" s="122">
        <v>15</v>
      </c>
    </row>
    <row r="52" spans="1:18" ht="15.75">
      <c r="A52" s="93">
        <v>15</v>
      </c>
      <c r="B52" s="94" t="s">
        <v>180</v>
      </c>
      <c r="C52" s="174">
        <f t="shared" si="3"/>
        <v>62</v>
      </c>
      <c r="D52" s="161">
        <v>52</v>
      </c>
      <c r="E52" s="122">
        <v>10</v>
      </c>
      <c r="F52" s="187">
        <f t="shared" si="6"/>
        <v>36</v>
      </c>
      <c r="G52" s="122">
        <v>35</v>
      </c>
      <c r="H52" s="122">
        <v>8</v>
      </c>
      <c r="I52" s="122">
        <v>1</v>
      </c>
      <c r="J52" s="122">
        <v>3</v>
      </c>
      <c r="K52" s="187">
        <f t="shared" si="4"/>
        <v>7</v>
      </c>
      <c r="L52" s="122">
        <v>6</v>
      </c>
      <c r="M52" s="122">
        <v>1</v>
      </c>
      <c r="N52" s="187">
        <f t="shared" si="5"/>
        <v>2</v>
      </c>
      <c r="O52" s="122">
        <v>1</v>
      </c>
      <c r="P52" s="122">
        <v>1</v>
      </c>
      <c r="Q52" s="122">
        <v>1</v>
      </c>
      <c r="R52" s="122">
        <v>1</v>
      </c>
    </row>
    <row r="53" spans="1:18" ht="15.75">
      <c r="A53" s="93">
        <v>16</v>
      </c>
      <c r="B53" s="94" t="s">
        <v>181</v>
      </c>
      <c r="C53" s="174">
        <f t="shared" si="3"/>
        <v>140</v>
      </c>
      <c r="D53" s="127">
        <v>90</v>
      </c>
      <c r="E53" s="122">
        <v>50</v>
      </c>
      <c r="F53" s="187">
        <f t="shared" si="6"/>
        <v>11</v>
      </c>
      <c r="G53" s="122">
        <v>6</v>
      </c>
      <c r="H53" s="122">
        <v>6</v>
      </c>
      <c r="I53" s="122">
        <v>5</v>
      </c>
      <c r="J53" s="122">
        <v>7</v>
      </c>
      <c r="K53" s="187">
        <f t="shared" si="4"/>
        <v>301</v>
      </c>
      <c r="L53" s="122">
        <v>184</v>
      </c>
      <c r="M53" s="122">
        <v>117</v>
      </c>
      <c r="N53" s="187">
        <f t="shared" si="5"/>
        <v>22</v>
      </c>
      <c r="O53" s="122">
        <v>12</v>
      </c>
      <c r="P53" s="122">
        <v>9</v>
      </c>
      <c r="Q53" s="122">
        <v>10</v>
      </c>
      <c r="R53" s="122">
        <v>10</v>
      </c>
    </row>
    <row r="54" spans="1:18" ht="15.75">
      <c r="A54" s="93">
        <v>17</v>
      </c>
      <c r="B54" s="94" t="s">
        <v>182</v>
      </c>
      <c r="C54" s="174">
        <f t="shared" si="3"/>
        <v>2737</v>
      </c>
      <c r="D54" s="127">
        <v>342</v>
      </c>
      <c r="E54" s="122">
        <v>2395</v>
      </c>
      <c r="F54" s="187">
        <f t="shared" si="6"/>
        <v>50</v>
      </c>
      <c r="G54" s="122">
        <v>48</v>
      </c>
      <c r="H54" s="122">
        <v>2</v>
      </c>
      <c r="I54" s="122">
        <v>2</v>
      </c>
      <c r="J54" s="122">
        <v>31</v>
      </c>
      <c r="K54" s="187">
        <f t="shared" si="4"/>
        <v>364</v>
      </c>
      <c r="L54" s="122">
        <v>301</v>
      </c>
      <c r="M54" s="122">
        <v>63</v>
      </c>
      <c r="N54" s="187">
        <f t="shared" si="5"/>
        <v>53</v>
      </c>
      <c r="O54" s="122">
        <v>43</v>
      </c>
      <c r="P54" s="122">
        <v>3</v>
      </c>
      <c r="Q54" s="122">
        <v>10</v>
      </c>
      <c r="R54" s="122">
        <v>47</v>
      </c>
    </row>
    <row r="55" spans="1:18" ht="15.75">
      <c r="A55" s="93">
        <v>18</v>
      </c>
      <c r="B55" s="94" t="s">
        <v>183</v>
      </c>
      <c r="C55" s="174">
        <f t="shared" si="3"/>
        <v>6296</v>
      </c>
      <c r="D55" s="127">
        <v>302</v>
      </c>
      <c r="E55" s="122">
        <v>5994</v>
      </c>
      <c r="F55" s="187">
        <f t="shared" si="6"/>
        <v>75</v>
      </c>
      <c r="G55" s="122">
        <v>55</v>
      </c>
      <c r="H55" s="122">
        <v>13</v>
      </c>
      <c r="I55" s="122">
        <v>20</v>
      </c>
      <c r="J55" s="122">
        <v>63</v>
      </c>
      <c r="K55" s="187">
        <f t="shared" si="4"/>
        <v>535</v>
      </c>
      <c r="L55" s="122">
        <v>263</v>
      </c>
      <c r="M55" s="122">
        <v>272</v>
      </c>
      <c r="N55" s="187">
        <f t="shared" si="5"/>
        <v>93</v>
      </c>
      <c r="O55" s="122">
        <v>65</v>
      </c>
      <c r="P55" s="122">
        <v>13</v>
      </c>
      <c r="Q55" s="122">
        <v>28</v>
      </c>
      <c r="R55" s="122">
        <v>72</v>
      </c>
    </row>
    <row r="56" spans="1:18" ht="15.75">
      <c r="A56" s="93">
        <v>19</v>
      </c>
      <c r="B56" s="95" t="s">
        <v>201</v>
      </c>
      <c r="C56" s="174">
        <f t="shared" si="3"/>
        <v>47667</v>
      </c>
      <c r="D56" s="131">
        <v>1172</v>
      </c>
      <c r="E56" s="131">
        <v>46495</v>
      </c>
      <c r="F56" s="187">
        <f t="shared" si="6"/>
        <v>123</v>
      </c>
      <c r="G56" s="131">
        <v>58</v>
      </c>
      <c r="H56" s="131">
        <v>6</v>
      </c>
      <c r="I56" s="131">
        <v>65</v>
      </c>
      <c r="J56" s="131">
        <v>71</v>
      </c>
      <c r="K56" s="187">
        <f t="shared" si="4"/>
        <v>25941</v>
      </c>
      <c r="L56" s="131">
        <v>1080</v>
      </c>
      <c r="M56" s="131">
        <v>24861</v>
      </c>
      <c r="N56" s="187">
        <f t="shared" si="5"/>
        <v>178</v>
      </c>
      <c r="O56" s="131">
        <v>175</v>
      </c>
      <c r="P56" s="131">
        <v>1</v>
      </c>
      <c r="Q56" s="131">
        <v>3</v>
      </c>
      <c r="R56" s="174">
        <v>145</v>
      </c>
    </row>
    <row r="57" spans="1:18" ht="15.75">
      <c r="A57" s="93">
        <v>20</v>
      </c>
      <c r="B57" s="95" t="s">
        <v>202</v>
      </c>
      <c r="C57" s="174">
        <f t="shared" si="3"/>
        <v>11739</v>
      </c>
      <c r="D57" s="131">
        <v>991</v>
      </c>
      <c r="E57" s="123">
        <v>10748</v>
      </c>
      <c r="F57" s="187">
        <f t="shared" si="6"/>
        <v>13</v>
      </c>
      <c r="G57" s="123">
        <v>13</v>
      </c>
      <c r="H57" s="123"/>
      <c r="I57" s="123"/>
      <c r="J57" s="123">
        <v>13</v>
      </c>
      <c r="K57" s="187">
        <f t="shared" si="4"/>
        <v>2478</v>
      </c>
      <c r="L57" s="123">
        <v>343</v>
      </c>
      <c r="M57" s="123">
        <v>2135</v>
      </c>
      <c r="N57" s="187">
        <f aca="true" t="shared" si="7" ref="N57:N72">O57+Q57</f>
        <v>14</v>
      </c>
      <c r="O57" s="123">
        <v>14</v>
      </c>
      <c r="P57" s="123"/>
      <c r="Q57" s="123"/>
      <c r="R57" s="123">
        <v>14</v>
      </c>
    </row>
    <row r="58" spans="1:18" ht="15.75">
      <c r="A58" s="93">
        <v>21</v>
      </c>
      <c r="B58" s="95" t="s">
        <v>203</v>
      </c>
      <c r="C58" s="174">
        <v>686</v>
      </c>
      <c r="D58" s="131"/>
      <c r="E58" s="123"/>
      <c r="F58" s="187"/>
      <c r="G58" s="123"/>
      <c r="H58" s="123"/>
      <c r="I58" s="123"/>
      <c r="J58" s="123"/>
      <c r="K58" s="187">
        <v>1367</v>
      </c>
      <c r="L58" s="123"/>
      <c r="M58" s="123"/>
      <c r="N58" s="187">
        <f t="shared" si="7"/>
        <v>3</v>
      </c>
      <c r="O58" s="123">
        <v>3</v>
      </c>
      <c r="P58" s="257">
        <v>0</v>
      </c>
      <c r="Q58" s="257">
        <v>0</v>
      </c>
      <c r="R58" s="123">
        <v>3</v>
      </c>
    </row>
    <row r="59" spans="1:18" ht="15.75">
      <c r="A59" s="93">
        <v>22</v>
      </c>
      <c r="B59" s="95" t="s">
        <v>204</v>
      </c>
      <c r="C59" s="174">
        <f t="shared" si="3"/>
        <v>10766</v>
      </c>
      <c r="D59" s="131">
        <v>45</v>
      </c>
      <c r="E59" s="123">
        <v>10721</v>
      </c>
      <c r="F59" s="187">
        <v>6</v>
      </c>
      <c r="G59" s="257">
        <v>0</v>
      </c>
      <c r="H59" s="257">
        <v>0</v>
      </c>
      <c r="I59" s="123">
        <v>4</v>
      </c>
      <c r="J59" s="123">
        <v>4</v>
      </c>
      <c r="K59" s="187">
        <f t="shared" si="4"/>
        <v>2427</v>
      </c>
      <c r="L59" s="123">
        <v>26</v>
      </c>
      <c r="M59" s="123">
        <v>2401</v>
      </c>
      <c r="N59" s="187">
        <f t="shared" si="7"/>
        <v>36</v>
      </c>
      <c r="O59" s="257">
        <v>0</v>
      </c>
      <c r="P59" s="257">
        <v>0</v>
      </c>
      <c r="Q59" s="123">
        <v>36</v>
      </c>
      <c r="R59" s="123">
        <v>43</v>
      </c>
    </row>
    <row r="60" spans="1:18" ht="15.75">
      <c r="A60" s="93">
        <v>23</v>
      </c>
      <c r="B60" s="95" t="s">
        <v>205</v>
      </c>
      <c r="C60" s="174">
        <f t="shared" si="3"/>
        <v>24902</v>
      </c>
      <c r="D60" s="131">
        <v>186</v>
      </c>
      <c r="E60" s="123">
        <v>24716</v>
      </c>
      <c r="F60" s="187">
        <f t="shared" si="6"/>
        <v>184</v>
      </c>
      <c r="G60" s="123">
        <v>15</v>
      </c>
      <c r="H60" s="123">
        <v>11</v>
      </c>
      <c r="I60" s="123">
        <v>169</v>
      </c>
      <c r="J60" s="123">
        <v>184</v>
      </c>
      <c r="K60" s="187">
        <f t="shared" si="4"/>
        <v>22799</v>
      </c>
      <c r="L60" s="123">
        <v>502</v>
      </c>
      <c r="M60" s="123">
        <v>22297</v>
      </c>
      <c r="N60" s="187">
        <f t="shared" si="7"/>
        <v>100</v>
      </c>
      <c r="O60" s="257">
        <v>0</v>
      </c>
      <c r="P60" s="257">
        <v>0</v>
      </c>
      <c r="Q60" s="123">
        <v>100</v>
      </c>
      <c r="R60" s="123">
        <v>100</v>
      </c>
    </row>
    <row r="61" spans="1:18" ht="15.75">
      <c r="A61" s="93">
        <v>24</v>
      </c>
      <c r="B61" s="95" t="s">
        <v>206</v>
      </c>
      <c r="C61" s="174">
        <f t="shared" si="3"/>
        <v>124579</v>
      </c>
      <c r="D61" s="131">
        <v>1846</v>
      </c>
      <c r="E61" s="192">
        <v>122733</v>
      </c>
      <c r="F61" s="187">
        <f t="shared" si="6"/>
        <v>137</v>
      </c>
      <c r="G61" s="123">
        <v>113</v>
      </c>
      <c r="H61" s="123">
        <v>41</v>
      </c>
      <c r="I61" s="123">
        <v>24</v>
      </c>
      <c r="J61" s="123">
        <v>137</v>
      </c>
      <c r="K61" s="273">
        <f t="shared" si="4"/>
        <v>1153483</v>
      </c>
      <c r="L61" s="123">
        <v>1708</v>
      </c>
      <c r="M61" s="192">
        <v>1151775</v>
      </c>
      <c r="N61" s="187">
        <f t="shared" si="7"/>
        <v>374</v>
      </c>
      <c r="O61" s="123">
        <v>287</v>
      </c>
      <c r="P61" s="123">
        <v>61</v>
      </c>
      <c r="Q61" s="123">
        <v>87</v>
      </c>
      <c r="R61" s="123">
        <v>338</v>
      </c>
    </row>
    <row r="62" spans="1:18" ht="15.75">
      <c r="A62" s="93">
        <v>25</v>
      </c>
      <c r="B62" s="95" t="s">
        <v>207</v>
      </c>
      <c r="C62" s="174">
        <f t="shared" si="3"/>
        <v>38851</v>
      </c>
      <c r="D62" s="131">
        <v>1160</v>
      </c>
      <c r="E62" s="131">
        <v>37691</v>
      </c>
      <c r="F62" s="187">
        <f t="shared" si="6"/>
        <v>94</v>
      </c>
      <c r="G62" s="123">
        <v>39</v>
      </c>
      <c r="H62" s="123">
        <v>10</v>
      </c>
      <c r="I62" s="123">
        <v>55</v>
      </c>
      <c r="J62" s="123">
        <v>88</v>
      </c>
      <c r="K62" s="187">
        <f t="shared" si="4"/>
        <v>1143</v>
      </c>
      <c r="L62" s="123">
        <v>757</v>
      </c>
      <c r="M62" s="123">
        <v>386</v>
      </c>
      <c r="N62" s="187">
        <f t="shared" si="7"/>
        <v>228</v>
      </c>
      <c r="O62" s="123">
        <v>175</v>
      </c>
      <c r="P62" s="123">
        <v>7</v>
      </c>
      <c r="Q62" s="123">
        <v>53</v>
      </c>
      <c r="R62" s="123">
        <v>222</v>
      </c>
    </row>
    <row r="63" spans="1:18" ht="15.75">
      <c r="A63" s="93">
        <v>26</v>
      </c>
      <c r="B63" s="95" t="s">
        <v>208</v>
      </c>
      <c r="C63" s="174">
        <f t="shared" si="3"/>
        <v>36410</v>
      </c>
      <c r="D63" s="131">
        <v>162</v>
      </c>
      <c r="E63" s="131">
        <v>36248</v>
      </c>
      <c r="F63" s="187">
        <f t="shared" si="6"/>
        <v>31</v>
      </c>
      <c r="G63" s="187">
        <v>1</v>
      </c>
      <c r="H63" s="123">
        <v>8</v>
      </c>
      <c r="I63" s="123">
        <v>30</v>
      </c>
      <c r="J63" s="123">
        <v>33</v>
      </c>
      <c r="K63" s="187">
        <f t="shared" si="4"/>
        <v>89923</v>
      </c>
      <c r="L63" s="131">
        <v>1147</v>
      </c>
      <c r="M63" s="131">
        <v>88776</v>
      </c>
      <c r="N63" s="187">
        <f t="shared" si="7"/>
        <v>305</v>
      </c>
      <c r="O63" s="187">
        <v>271</v>
      </c>
      <c r="P63" s="123">
        <v>11</v>
      </c>
      <c r="Q63" s="123">
        <v>34</v>
      </c>
      <c r="R63" s="123">
        <v>260</v>
      </c>
    </row>
    <row r="64" spans="1:18" ht="15.75">
      <c r="A64" s="93">
        <v>27</v>
      </c>
      <c r="B64" s="95" t="s">
        <v>209</v>
      </c>
      <c r="C64" s="174">
        <f t="shared" si="3"/>
        <v>11749</v>
      </c>
      <c r="D64" s="131">
        <v>89</v>
      </c>
      <c r="E64" s="123">
        <v>11660</v>
      </c>
      <c r="F64" s="187">
        <f t="shared" si="6"/>
        <v>5</v>
      </c>
      <c r="G64" s="123">
        <v>4</v>
      </c>
      <c r="H64" s="123">
        <v>2</v>
      </c>
      <c r="I64" s="123">
        <v>1</v>
      </c>
      <c r="J64" s="123">
        <v>5</v>
      </c>
      <c r="K64" s="187">
        <f t="shared" si="4"/>
        <v>2128</v>
      </c>
      <c r="L64" s="123">
        <v>257</v>
      </c>
      <c r="M64" s="123">
        <v>1871</v>
      </c>
      <c r="N64" s="187">
        <f t="shared" si="7"/>
        <v>16</v>
      </c>
      <c r="O64" s="123">
        <v>15</v>
      </c>
      <c r="P64" s="123">
        <v>1</v>
      </c>
      <c r="Q64" s="123">
        <v>1</v>
      </c>
      <c r="R64" s="123">
        <v>18</v>
      </c>
    </row>
    <row r="65" spans="1:18" ht="15.75">
      <c r="A65" s="93">
        <v>28</v>
      </c>
      <c r="B65" s="95" t="s">
        <v>210</v>
      </c>
      <c r="C65" s="174">
        <f t="shared" si="3"/>
        <v>4335</v>
      </c>
      <c r="D65" s="131">
        <v>132</v>
      </c>
      <c r="E65" s="123">
        <v>4203</v>
      </c>
      <c r="F65" s="187">
        <f t="shared" si="6"/>
        <v>13</v>
      </c>
      <c r="G65" s="123">
        <v>7</v>
      </c>
      <c r="H65" s="257">
        <v>0</v>
      </c>
      <c r="I65" s="123">
        <v>6</v>
      </c>
      <c r="J65" s="123">
        <v>16</v>
      </c>
      <c r="K65" s="187">
        <f t="shared" si="4"/>
        <v>407</v>
      </c>
      <c r="L65" s="123">
        <v>307</v>
      </c>
      <c r="M65" s="123">
        <v>100</v>
      </c>
      <c r="N65" s="187">
        <f t="shared" si="7"/>
        <v>71</v>
      </c>
      <c r="O65" s="123">
        <v>58</v>
      </c>
      <c r="P65" s="123">
        <v>4</v>
      </c>
      <c r="Q65" s="123">
        <v>13</v>
      </c>
      <c r="R65" s="123">
        <v>71</v>
      </c>
    </row>
    <row r="66" spans="1:18" ht="15.75">
      <c r="A66" s="93">
        <v>29</v>
      </c>
      <c r="B66" s="95" t="s">
        <v>211</v>
      </c>
      <c r="C66" s="174">
        <f t="shared" si="3"/>
        <v>1471</v>
      </c>
      <c r="D66" s="131">
        <v>341</v>
      </c>
      <c r="E66" s="123">
        <v>1130</v>
      </c>
      <c r="F66" s="187">
        <f t="shared" si="6"/>
        <v>152</v>
      </c>
      <c r="G66" s="123">
        <v>151</v>
      </c>
      <c r="H66" s="123">
        <v>45</v>
      </c>
      <c r="I66" s="123">
        <v>1</v>
      </c>
      <c r="J66" s="123">
        <v>1</v>
      </c>
      <c r="K66" s="187">
        <f t="shared" si="4"/>
        <v>577</v>
      </c>
      <c r="L66" s="123">
        <v>426</v>
      </c>
      <c r="M66" s="123">
        <v>151</v>
      </c>
      <c r="N66" s="187">
        <f>O66+Q66</f>
        <v>101</v>
      </c>
      <c r="O66" s="123">
        <v>101</v>
      </c>
      <c r="P66" s="123">
        <v>27</v>
      </c>
      <c r="Q66" s="257">
        <v>0</v>
      </c>
      <c r="R66" s="123">
        <v>25</v>
      </c>
    </row>
    <row r="67" spans="1:18" ht="15.75">
      <c r="A67" s="93">
        <v>30</v>
      </c>
      <c r="B67" s="95" t="s">
        <v>212</v>
      </c>
      <c r="C67" s="174">
        <f t="shared" si="3"/>
        <v>9392</v>
      </c>
      <c r="D67" s="131">
        <v>191</v>
      </c>
      <c r="E67" s="123">
        <v>9201</v>
      </c>
      <c r="F67" s="257">
        <v>0</v>
      </c>
      <c r="G67" s="257">
        <v>0</v>
      </c>
      <c r="H67" s="257">
        <v>0</v>
      </c>
      <c r="I67" s="257">
        <v>0</v>
      </c>
      <c r="J67" s="257">
        <v>0</v>
      </c>
      <c r="K67" s="187">
        <f t="shared" si="4"/>
        <v>2754</v>
      </c>
      <c r="L67" s="123">
        <v>826</v>
      </c>
      <c r="M67" s="123">
        <v>1928</v>
      </c>
      <c r="N67" s="187">
        <f t="shared" si="7"/>
        <v>162</v>
      </c>
      <c r="O67" s="123">
        <v>162</v>
      </c>
      <c r="P67" s="257">
        <v>0</v>
      </c>
      <c r="Q67" s="257">
        <v>0</v>
      </c>
      <c r="R67" s="123">
        <v>130</v>
      </c>
    </row>
    <row r="68" spans="1:18" ht="15.75">
      <c r="A68" s="93">
        <v>31</v>
      </c>
      <c r="B68" s="95" t="s">
        <v>213</v>
      </c>
      <c r="C68" s="174">
        <f t="shared" si="3"/>
        <v>110725</v>
      </c>
      <c r="D68" s="131">
        <v>197</v>
      </c>
      <c r="E68" s="123">
        <v>110528</v>
      </c>
      <c r="F68" s="257">
        <v>0</v>
      </c>
      <c r="G68" s="257">
        <v>0</v>
      </c>
      <c r="H68" s="257">
        <v>0</v>
      </c>
      <c r="I68" s="257">
        <v>0</v>
      </c>
      <c r="J68" s="123">
        <v>1</v>
      </c>
      <c r="K68" s="187">
        <f t="shared" si="4"/>
        <v>59525</v>
      </c>
      <c r="L68" s="123">
        <v>75</v>
      </c>
      <c r="M68" s="123">
        <v>59450</v>
      </c>
      <c r="N68" s="257">
        <v>0</v>
      </c>
      <c r="O68" s="257">
        <v>0</v>
      </c>
      <c r="P68" s="257">
        <v>0</v>
      </c>
      <c r="Q68" s="257">
        <v>0</v>
      </c>
      <c r="R68" s="257">
        <v>0</v>
      </c>
    </row>
    <row r="69" spans="1:18" ht="15.75">
      <c r="A69" s="93">
        <v>32</v>
      </c>
      <c r="B69" s="95" t="s">
        <v>214</v>
      </c>
      <c r="C69" s="174">
        <f t="shared" si="3"/>
        <v>762</v>
      </c>
      <c r="D69" s="131">
        <v>761</v>
      </c>
      <c r="E69" s="123">
        <v>1</v>
      </c>
      <c r="F69" s="187">
        <f t="shared" si="6"/>
        <v>169</v>
      </c>
      <c r="G69" s="123">
        <v>168</v>
      </c>
      <c r="H69" s="123">
        <v>1</v>
      </c>
      <c r="I69" s="123">
        <v>1</v>
      </c>
      <c r="J69" s="123">
        <v>165</v>
      </c>
      <c r="K69" s="187">
        <f t="shared" si="4"/>
        <v>493</v>
      </c>
      <c r="L69" s="123">
        <v>493</v>
      </c>
      <c r="M69" s="257">
        <v>0</v>
      </c>
      <c r="N69" s="187">
        <f t="shared" si="7"/>
        <v>139</v>
      </c>
      <c r="O69" s="123">
        <v>139</v>
      </c>
      <c r="P69" s="257">
        <v>0</v>
      </c>
      <c r="Q69" s="257">
        <v>0</v>
      </c>
      <c r="R69" s="123">
        <v>136</v>
      </c>
    </row>
    <row r="70" spans="1:18" ht="15.75">
      <c r="A70" s="93">
        <v>33</v>
      </c>
      <c r="B70" s="95" t="s">
        <v>215</v>
      </c>
      <c r="C70" s="174">
        <f t="shared" si="3"/>
        <v>5167</v>
      </c>
      <c r="D70" s="131">
        <v>554</v>
      </c>
      <c r="E70" s="123">
        <v>4613</v>
      </c>
      <c r="F70" s="187">
        <f t="shared" si="6"/>
        <v>57</v>
      </c>
      <c r="G70" s="123">
        <v>1</v>
      </c>
      <c r="H70" s="123">
        <v>1</v>
      </c>
      <c r="I70" s="123">
        <v>56</v>
      </c>
      <c r="J70" s="123">
        <v>57</v>
      </c>
      <c r="K70" s="187">
        <f t="shared" si="4"/>
        <v>1688</v>
      </c>
      <c r="L70" s="123">
        <v>479</v>
      </c>
      <c r="M70" s="123">
        <v>1209</v>
      </c>
      <c r="N70" s="187">
        <f t="shared" si="7"/>
        <v>57</v>
      </c>
      <c r="O70" s="123">
        <v>1</v>
      </c>
      <c r="P70" s="123">
        <v>1</v>
      </c>
      <c r="Q70" s="123">
        <v>56</v>
      </c>
      <c r="R70" s="123">
        <v>57</v>
      </c>
    </row>
    <row r="71" spans="1:18" ht="15.75">
      <c r="A71" s="93">
        <v>34</v>
      </c>
      <c r="B71" s="95" t="s">
        <v>216</v>
      </c>
      <c r="C71" s="174">
        <f t="shared" si="3"/>
        <v>21121</v>
      </c>
      <c r="D71" s="131">
        <v>365</v>
      </c>
      <c r="E71" s="123">
        <v>20756</v>
      </c>
      <c r="F71" s="187">
        <f t="shared" si="6"/>
        <v>176</v>
      </c>
      <c r="G71" s="123">
        <v>19</v>
      </c>
      <c r="H71" s="123">
        <v>16</v>
      </c>
      <c r="I71" s="123">
        <v>157</v>
      </c>
      <c r="J71" s="123">
        <v>185</v>
      </c>
      <c r="K71" s="187">
        <f t="shared" si="4"/>
        <v>13252</v>
      </c>
      <c r="L71" s="123">
        <v>381</v>
      </c>
      <c r="M71" s="123">
        <v>12871</v>
      </c>
      <c r="N71" s="187">
        <f t="shared" si="7"/>
        <v>48</v>
      </c>
      <c r="O71" s="123">
        <v>21</v>
      </c>
      <c r="P71" s="123">
        <v>21</v>
      </c>
      <c r="Q71" s="123">
        <v>27</v>
      </c>
      <c r="R71" s="123">
        <v>48</v>
      </c>
    </row>
    <row r="72" spans="1:18" ht="15.75">
      <c r="A72" s="93">
        <v>35</v>
      </c>
      <c r="B72" s="95" t="s">
        <v>217</v>
      </c>
      <c r="C72" s="174">
        <f t="shared" si="3"/>
        <v>641</v>
      </c>
      <c r="D72" s="131">
        <v>188</v>
      </c>
      <c r="E72" s="123">
        <v>453</v>
      </c>
      <c r="F72" s="187">
        <f t="shared" si="6"/>
        <v>4</v>
      </c>
      <c r="G72" s="123">
        <v>4</v>
      </c>
      <c r="H72" s="123">
        <v>2</v>
      </c>
      <c r="I72" s="257">
        <v>0</v>
      </c>
      <c r="J72" s="123">
        <v>1</v>
      </c>
      <c r="K72" s="187">
        <f t="shared" si="4"/>
        <v>969</v>
      </c>
      <c r="L72" s="123">
        <v>731</v>
      </c>
      <c r="M72" s="123">
        <v>238</v>
      </c>
      <c r="N72" s="187">
        <f t="shared" si="7"/>
        <v>132</v>
      </c>
      <c r="O72" s="123">
        <v>124</v>
      </c>
      <c r="P72" s="123">
        <v>28</v>
      </c>
      <c r="Q72" s="123">
        <v>8</v>
      </c>
      <c r="R72" s="123">
        <v>114</v>
      </c>
    </row>
    <row r="73" spans="1:18" ht="15.75">
      <c r="A73" s="93">
        <v>36</v>
      </c>
      <c r="B73" s="96" t="s">
        <v>218</v>
      </c>
      <c r="C73" s="174">
        <f t="shared" si="3"/>
        <v>2313</v>
      </c>
      <c r="D73" s="154">
        <v>808</v>
      </c>
      <c r="E73" s="133">
        <v>1505</v>
      </c>
      <c r="F73" s="187">
        <f t="shared" si="6"/>
        <v>10</v>
      </c>
      <c r="G73" s="133">
        <v>7</v>
      </c>
      <c r="H73" s="133">
        <v>7</v>
      </c>
      <c r="I73" s="133">
        <v>3</v>
      </c>
      <c r="J73" s="133">
        <v>9</v>
      </c>
      <c r="K73" s="187">
        <f t="shared" si="4"/>
        <v>923</v>
      </c>
      <c r="L73" s="133">
        <v>837</v>
      </c>
      <c r="M73" s="133">
        <v>86</v>
      </c>
      <c r="N73" s="187">
        <f>O73+Q73</f>
        <v>443</v>
      </c>
      <c r="O73" s="133">
        <v>443</v>
      </c>
      <c r="P73" s="133">
        <v>163</v>
      </c>
      <c r="Q73" s="257">
        <v>0</v>
      </c>
      <c r="R73" s="133">
        <v>248</v>
      </c>
    </row>
    <row r="74" spans="1:18" ht="15.75">
      <c r="A74" s="93">
        <v>37</v>
      </c>
      <c r="B74" s="96" t="s">
        <v>219</v>
      </c>
      <c r="C74" s="174">
        <f t="shared" si="3"/>
        <v>114</v>
      </c>
      <c r="D74" s="154">
        <v>68</v>
      </c>
      <c r="E74" s="133">
        <v>46</v>
      </c>
      <c r="F74" s="187">
        <f t="shared" si="6"/>
        <v>17</v>
      </c>
      <c r="G74" s="133">
        <v>12</v>
      </c>
      <c r="H74" s="133">
        <v>7</v>
      </c>
      <c r="I74" s="133">
        <v>5</v>
      </c>
      <c r="J74" s="133">
        <v>7</v>
      </c>
      <c r="K74" s="187">
        <f t="shared" si="4"/>
        <v>264</v>
      </c>
      <c r="L74" s="133">
        <v>218</v>
      </c>
      <c r="M74" s="133">
        <v>46</v>
      </c>
      <c r="N74" s="187">
        <f>O74+Q74</f>
        <v>55</v>
      </c>
      <c r="O74" s="133">
        <v>49</v>
      </c>
      <c r="P74" s="133">
        <v>9</v>
      </c>
      <c r="Q74" s="133">
        <v>6</v>
      </c>
      <c r="R74" s="133">
        <v>33</v>
      </c>
    </row>
    <row r="75" spans="1:18" ht="15.75">
      <c r="A75" s="93">
        <v>38</v>
      </c>
      <c r="B75" s="96" t="s">
        <v>220</v>
      </c>
      <c r="C75" s="174">
        <f t="shared" si="3"/>
        <v>10955</v>
      </c>
      <c r="D75" s="154">
        <v>932</v>
      </c>
      <c r="E75" s="133">
        <v>10023</v>
      </c>
      <c r="F75" s="187">
        <f t="shared" si="6"/>
        <v>46</v>
      </c>
      <c r="G75" s="133">
        <v>29</v>
      </c>
      <c r="H75" s="133">
        <v>10</v>
      </c>
      <c r="I75" s="133">
        <v>17</v>
      </c>
      <c r="J75" s="133">
        <v>46</v>
      </c>
      <c r="K75" s="187">
        <f t="shared" si="4"/>
        <v>1015</v>
      </c>
      <c r="L75" s="133">
        <v>944</v>
      </c>
      <c r="M75" s="133">
        <v>71</v>
      </c>
      <c r="N75" s="187">
        <f aca="true" t="shared" si="8" ref="N75:N81">O75+Q75</f>
        <v>157</v>
      </c>
      <c r="O75" s="133">
        <v>154</v>
      </c>
      <c r="P75" s="133">
        <v>5</v>
      </c>
      <c r="Q75" s="133">
        <v>3</v>
      </c>
      <c r="R75" s="133">
        <v>157</v>
      </c>
    </row>
    <row r="76" spans="1:18" ht="15.75">
      <c r="A76" s="93">
        <v>39</v>
      </c>
      <c r="B76" s="96" t="s">
        <v>221</v>
      </c>
      <c r="C76" s="174">
        <f t="shared" si="3"/>
        <v>40753</v>
      </c>
      <c r="D76" s="154">
        <v>181</v>
      </c>
      <c r="E76" s="133">
        <v>40572</v>
      </c>
      <c r="F76" s="187">
        <f t="shared" si="6"/>
        <v>178</v>
      </c>
      <c r="G76" s="133"/>
      <c r="H76" s="133"/>
      <c r="I76" s="133">
        <v>178</v>
      </c>
      <c r="J76" s="133">
        <v>178</v>
      </c>
      <c r="K76" s="187">
        <f t="shared" si="4"/>
        <v>68704</v>
      </c>
      <c r="L76" s="133">
        <v>175</v>
      </c>
      <c r="M76" s="133">
        <v>68529</v>
      </c>
      <c r="N76" s="187">
        <f t="shared" si="8"/>
        <v>263</v>
      </c>
      <c r="O76" s="133">
        <v>1</v>
      </c>
      <c r="P76" s="133">
        <v>1</v>
      </c>
      <c r="Q76" s="133">
        <v>262</v>
      </c>
      <c r="R76" s="133">
        <v>263</v>
      </c>
    </row>
    <row r="77" spans="1:18" ht="15.75">
      <c r="A77" s="93">
        <v>40</v>
      </c>
      <c r="B77" s="96" t="s">
        <v>222</v>
      </c>
      <c r="C77" s="174">
        <f t="shared" si="3"/>
        <v>120221</v>
      </c>
      <c r="D77" s="154">
        <v>7361</v>
      </c>
      <c r="E77" s="133">
        <v>112860</v>
      </c>
      <c r="F77" s="187">
        <f t="shared" si="6"/>
        <v>832</v>
      </c>
      <c r="G77" s="133">
        <v>316</v>
      </c>
      <c r="H77" s="133">
        <v>23</v>
      </c>
      <c r="I77" s="165">
        <v>516</v>
      </c>
      <c r="J77" s="133">
        <v>658</v>
      </c>
      <c r="K77" s="187">
        <f t="shared" si="4"/>
        <v>83487</v>
      </c>
      <c r="L77" s="133">
        <v>4669</v>
      </c>
      <c r="M77" s="133">
        <v>78818</v>
      </c>
      <c r="N77" s="187">
        <f t="shared" si="8"/>
        <v>1136</v>
      </c>
      <c r="O77" s="133">
        <v>370</v>
      </c>
      <c r="P77" s="133">
        <v>41</v>
      </c>
      <c r="Q77" s="133">
        <v>766</v>
      </c>
      <c r="R77" s="133">
        <v>759</v>
      </c>
    </row>
    <row r="78" spans="1:18" ht="15.75">
      <c r="A78" s="93">
        <v>41</v>
      </c>
      <c r="B78" s="96" t="s">
        <v>223</v>
      </c>
      <c r="C78" s="174">
        <f t="shared" si="3"/>
        <v>17605</v>
      </c>
      <c r="D78" s="154">
        <v>622</v>
      </c>
      <c r="E78" s="133">
        <v>16983</v>
      </c>
      <c r="F78" s="209">
        <f t="shared" si="6"/>
        <v>2529</v>
      </c>
      <c r="G78" s="133">
        <v>52</v>
      </c>
      <c r="H78" s="133">
        <v>3</v>
      </c>
      <c r="I78" s="165">
        <v>2477</v>
      </c>
      <c r="J78" s="133">
        <v>16</v>
      </c>
      <c r="K78" s="187">
        <f t="shared" si="4"/>
        <v>9988</v>
      </c>
      <c r="L78" s="133">
        <v>310</v>
      </c>
      <c r="M78" s="133">
        <v>9678</v>
      </c>
      <c r="N78" s="187">
        <f>O78+Q78</f>
        <v>72</v>
      </c>
      <c r="O78" s="133">
        <v>72</v>
      </c>
      <c r="P78" s="133">
        <v>5</v>
      </c>
      <c r="Q78" s="257">
        <v>0</v>
      </c>
      <c r="R78" s="133">
        <v>88</v>
      </c>
    </row>
    <row r="79" spans="1:18" ht="15.75">
      <c r="A79" s="93">
        <v>42</v>
      </c>
      <c r="B79" s="96" t="s">
        <v>224</v>
      </c>
      <c r="C79" s="174">
        <f t="shared" si="3"/>
        <v>7463</v>
      </c>
      <c r="D79" s="154">
        <v>444</v>
      </c>
      <c r="E79" s="133">
        <v>7019</v>
      </c>
      <c r="F79" s="187">
        <f t="shared" si="6"/>
        <v>35</v>
      </c>
      <c r="G79" s="133">
        <v>27</v>
      </c>
      <c r="H79" s="133">
        <v>1</v>
      </c>
      <c r="I79" s="133">
        <v>8</v>
      </c>
      <c r="J79" s="133">
        <v>25</v>
      </c>
      <c r="K79" s="187">
        <f t="shared" si="4"/>
        <v>3484</v>
      </c>
      <c r="L79" s="133">
        <v>373</v>
      </c>
      <c r="M79" s="133">
        <v>3111</v>
      </c>
      <c r="N79" s="187">
        <f>O79+Q79</f>
        <v>62</v>
      </c>
      <c r="O79" s="133">
        <v>55</v>
      </c>
      <c r="P79" s="257">
        <v>0</v>
      </c>
      <c r="Q79" s="133">
        <v>7</v>
      </c>
      <c r="R79" s="257">
        <v>0</v>
      </c>
    </row>
    <row r="80" spans="1:18" ht="15.75">
      <c r="A80" s="93">
        <v>43</v>
      </c>
      <c r="B80" s="96" t="s">
        <v>225</v>
      </c>
      <c r="C80" s="174">
        <f t="shared" si="3"/>
        <v>6720</v>
      </c>
      <c r="D80" s="154">
        <v>372</v>
      </c>
      <c r="E80" s="133">
        <v>6348</v>
      </c>
      <c r="F80" s="187">
        <f t="shared" si="6"/>
        <v>15</v>
      </c>
      <c r="G80" s="133">
        <v>15</v>
      </c>
      <c r="H80" s="257">
        <v>0</v>
      </c>
      <c r="I80" s="257">
        <v>0</v>
      </c>
      <c r="J80" s="133">
        <v>13</v>
      </c>
      <c r="K80" s="187">
        <f t="shared" si="4"/>
        <v>29746</v>
      </c>
      <c r="L80" s="133">
        <v>1076</v>
      </c>
      <c r="M80" s="133">
        <v>28670</v>
      </c>
      <c r="N80" s="187">
        <f t="shared" si="8"/>
        <v>88</v>
      </c>
      <c r="O80" s="133">
        <v>81</v>
      </c>
      <c r="P80" s="133">
        <v>2</v>
      </c>
      <c r="Q80" s="133">
        <v>7</v>
      </c>
      <c r="R80" s="133">
        <v>88</v>
      </c>
    </row>
    <row r="81" spans="1:18" ht="15.75">
      <c r="A81" s="93">
        <v>44</v>
      </c>
      <c r="B81" s="96" t="s">
        <v>226</v>
      </c>
      <c r="C81" s="174">
        <f t="shared" si="3"/>
        <v>31742</v>
      </c>
      <c r="D81" s="154">
        <v>367</v>
      </c>
      <c r="E81" s="133">
        <v>31375</v>
      </c>
      <c r="F81" s="187">
        <f t="shared" si="6"/>
        <v>71</v>
      </c>
      <c r="G81" s="133">
        <v>15</v>
      </c>
      <c r="H81" s="133">
        <v>9</v>
      </c>
      <c r="I81" s="133">
        <v>56</v>
      </c>
      <c r="J81" s="133">
        <v>29</v>
      </c>
      <c r="K81" s="187">
        <f t="shared" si="4"/>
        <v>82165</v>
      </c>
      <c r="L81" s="133">
        <v>364</v>
      </c>
      <c r="M81" s="133">
        <v>81801</v>
      </c>
      <c r="N81" s="187">
        <f t="shared" si="8"/>
        <v>207</v>
      </c>
      <c r="O81" s="133">
        <v>131</v>
      </c>
      <c r="P81" s="133">
        <v>22</v>
      </c>
      <c r="Q81" s="133">
        <v>76</v>
      </c>
      <c r="R81" s="133">
        <v>65</v>
      </c>
    </row>
    <row r="82" spans="1:18" s="210" customFormat="1" ht="15.75">
      <c r="A82" s="93">
        <v>45</v>
      </c>
      <c r="B82" s="97" t="s">
        <v>231</v>
      </c>
      <c r="C82" s="174">
        <f t="shared" si="3"/>
        <v>353</v>
      </c>
      <c r="D82" s="131">
        <v>198</v>
      </c>
      <c r="E82" s="123">
        <v>155</v>
      </c>
      <c r="F82" s="257">
        <v>0</v>
      </c>
      <c r="G82" s="257">
        <v>0</v>
      </c>
      <c r="H82" s="257">
        <v>0</v>
      </c>
      <c r="I82" s="257">
        <v>0</v>
      </c>
      <c r="J82" s="257">
        <v>0</v>
      </c>
      <c r="K82" s="187">
        <f t="shared" si="4"/>
        <v>1696</v>
      </c>
      <c r="L82" s="123">
        <v>1656</v>
      </c>
      <c r="M82" s="123">
        <v>40</v>
      </c>
      <c r="N82" s="187">
        <f>O82+Q82</f>
        <v>380</v>
      </c>
      <c r="O82" s="123">
        <v>380</v>
      </c>
      <c r="P82" s="123">
        <v>93</v>
      </c>
      <c r="Q82" s="257">
        <v>0</v>
      </c>
      <c r="R82" s="123">
        <v>348</v>
      </c>
    </row>
    <row r="83" spans="1:18" s="210" customFormat="1" ht="15.75">
      <c r="A83" s="93">
        <v>46</v>
      </c>
      <c r="B83" s="97" t="s">
        <v>232</v>
      </c>
      <c r="C83" s="174">
        <f t="shared" si="3"/>
        <v>568</v>
      </c>
      <c r="D83" s="131">
        <f>36+92</f>
        <v>128</v>
      </c>
      <c r="E83" s="123">
        <f>0+440</f>
        <v>440</v>
      </c>
      <c r="F83" s="187">
        <f t="shared" si="6"/>
        <v>84</v>
      </c>
      <c r="G83" s="123">
        <f>15+26</f>
        <v>41</v>
      </c>
      <c r="H83" s="123">
        <f>0+6</f>
        <v>6</v>
      </c>
      <c r="I83" s="123">
        <f>0+43</f>
        <v>43</v>
      </c>
      <c r="J83" s="123">
        <f>15+40</f>
        <v>55</v>
      </c>
      <c r="K83" s="187">
        <f t="shared" si="4"/>
        <v>885</v>
      </c>
      <c r="L83" s="123">
        <f>72+407</f>
        <v>479</v>
      </c>
      <c r="M83" s="123">
        <f>10+396</f>
        <v>406</v>
      </c>
      <c r="N83" s="187">
        <f aca="true" t="shared" si="9" ref="N83:N93">O83+Q83</f>
        <v>348</v>
      </c>
      <c r="O83" s="123">
        <f>26+180</f>
        <v>206</v>
      </c>
      <c r="P83" s="123">
        <f>0+69</f>
        <v>69</v>
      </c>
      <c r="Q83" s="123">
        <f>0+142</f>
        <v>142</v>
      </c>
      <c r="R83" s="123">
        <f>26+147</f>
        <v>173</v>
      </c>
    </row>
    <row r="84" spans="1:18" s="210" customFormat="1" ht="15.75">
      <c r="A84" s="93">
        <v>47</v>
      </c>
      <c r="B84" s="97" t="s">
        <v>233</v>
      </c>
      <c r="C84" s="174">
        <f t="shared" si="3"/>
        <v>14528</v>
      </c>
      <c r="D84" s="131">
        <v>526</v>
      </c>
      <c r="E84" s="123">
        <v>14002</v>
      </c>
      <c r="F84" s="187">
        <f t="shared" si="6"/>
        <v>47</v>
      </c>
      <c r="G84" s="123">
        <v>29</v>
      </c>
      <c r="H84" s="123">
        <v>4</v>
      </c>
      <c r="I84" s="123">
        <v>18</v>
      </c>
      <c r="J84" s="123">
        <v>9</v>
      </c>
      <c r="K84" s="187">
        <f t="shared" si="4"/>
        <v>42947</v>
      </c>
      <c r="L84" s="123">
        <v>358</v>
      </c>
      <c r="M84" s="123">
        <v>42589</v>
      </c>
      <c r="N84" s="187">
        <f t="shared" si="9"/>
        <v>1403</v>
      </c>
      <c r="O84" s="123">
        <v>970</v>
      </c>
      <c r="P84" s="123">
        <v>35</v>
      </c>
      <c r="Q84" s="123">
        <v>433</v>
      </c>
      <c r="R84" s="123">
        <v>62</v>
      </c>
    </row>
    <row r="85" spans="1:18" s="210" customFormat="1" ht="15.75">
      <c r="A85" s="93">
        <v>48</v>
      </c>
      <c r="B85" s="97" t="s">
        <v>234</v>
      </c>
      <c r="C85" s="174">
        <f t="shared" si="3"/>
        <v>55068</v>
      </c>
      <c r="D85" s="131">
        <v>1204</v>
      </c>
      <c r="E85" s="123">
        <v>53864</v>
      </c>
      <c r="F85" s="187">
        <f t="shared" si="6"/>
        <v>22</v>
      </c>
      <c r="G85" s="123">
        <v>16</v>
      </c>
      <c r="H85" s="257">
        <v>0</v>
      </c>
      <c r="I85" s="123">
        <v>6</v>
      </c>
      <c r="J85" s="123">
        <v>16</v>
      </c>
      <c r="K85" s="187">
        <f t="shared" si="4"/>
        <v>24871</v>
      </c>
      <c r="L85" s="123">
        <v>809</v>
      </c>
      <c r="M85" s="123">
        <v>24062</v>
      </c>
      <c r="N85" s="187">
        <f t="shared" si="9"/>
        <v>74</v>
      </c>
      <c r="O85" s="123">
        <v>74</v>
      </c>
      <c r="P85" s="123">
        <v>1</v>
      </c>
      <c r="Q85" s="257">
        <v>0</v>
      </c>
      <c r="R85" s="123">
        <v>74</v>
      </c>
    </row>
    <row r="86" spans="1:18" s="210" customFormat="1" ht="15.75">
      <c r="A86" s="93">
        <v>49</v>
      </c>
      <c r="B86" s="97" t="s">
        <v>235</v>
      </c>
      <c r="C86" s="174">
        <f t="shared" si="3"/>
        <v>16806</v>
      </c>
      <c r="D86" s="131">
        <v>184</v>
      </c>
      <c r="E86" s="123">
        <v>16622</v>
      </c>
      <c r="F86" s="187">
        <v>59</v>
      </c>
      <c r="G86" s="123">
        <v>59</v>
      </c>
      <c r="H86" s="123">
        <v>3</v>
      </c>
      <c r="I86" s="257">
        <v>0</v>
      </c>
      <c r="J86" s="123">
        <v>56</v>
      </c>
      <c r="K86" s="187">
        <f t="shared" si="4"/>
        <v>6437</v>
      </c>
      <c r="L86" s="123">
        <v>197</v>
      </c>
      <c r="M86" s="123">
        <v>6240</v>
      </c>
      <c r="N86" s="187">
        <f t="shared" si="9"/>
        <v>31</v>
      </c>
      <c r="O86" s="123">
        <v>15</v>
      </c>
      <c r="P86" s="123">
        <v>2</v>
      </c>
      <c r="Q86" s="123">
        <v>16</v>
      </c>
      <c r="R86" s="123">
        <v>24</v>
      </c>
    </row>
    <row r="87" spans="1:18" s="210" customFormat="1" ht="15.75">
      <c r="A87" s="93">
        <v>50</v>
      </c>
      <c r="B87" s="97" t="s">
        <v>236</v>
      </c>
      <c r="C87" s="174">
        <f t="shared" si="3"/>
        <v>2112</v>
      </c>
      <c r="D87" s="131">
        <v>591</v>
      </c>
      <c r="E87" s="123">
        <v>1521</v>
      </c>
      <c r="F87" s="187">
        <f t="shared" si="6"/>
        <v>47</v>
      </c>
      <c r="G87" s="123">
        <v>44</v>
      </c>
      <c r="H87" s="123">
        <v>6</v>
      </c>
      <c r="I87" s="123">
        <v>3</v>
      </c>
      <c r="J87" s="123">
        <v>47</v>
      </c>
      <c r="K87" s="187">
        <f t="shared" si="4"/>
        <v>1352</v>
      </c>
      <c r="L87" s="123">
        <v>567</v>
      </c>
      <c r="M87" s="123">
        <v>785</v>
      </c>
      <c r="N87" s="187">
        <f t="shared" si="9"/>
        <v>58</v>
      </c>
      <c r="O87" s="123">
        <v>55</v>
      </c>
      <c r="P87" s="123">
        <v>6</v>
      </c>
      <c r="Q87" s="123">
        <v>3</v>
      </c>
      <c r="R87" s="123">
        <v>56</v>
      </c>
    </row>
    <row r="88" spans="1:18" s="210" customFormat="1" ht="15.75">
      <c r="A88" s="93">
        <v>51</v>
      </c>
      <c r="B88" s="98" t="s">
        <v>237</v>
      </c>
      <c r="C88" s="174">
        <f t="shared" si="3"/>
        <v>7876</v>
      </c>
      <c r="D88" s="131">
        <v>582</v>
      </c>
      <c r="E88" s="123">
        <v>7294</v>
      </c>
      <c r="F88" s="187">
        <f t="shared" si="6"/>
        <v>158</v>
      </c>
      <c r="G88" s="123">
        <v>78</v>
      </c>
      <c r="H88" s="123">
        <v>1</v>
      </c>
      <c r="I88" s="123">
        <v>80</v>
      </c>
      <c r="J88" s="123">
        <v>154</v>
      </c>
      <c r="K88" s="187">
        <f t="shared" si="4"/>
        <v>7822</v>
      </c>
      <c r="L88" s="123">
        <v>580</v>
      </c>
      <c r="M88" s="123">
        <v>7242</v>
      </c>
      <c r="N88" s="187">
        <f t="shared" si="9"/>
        <v>752</v>
      </c>
      <c r="O88" s="123">
        <v>292</v>
      </c>
      <c r="P88" s="123">
        <v>8</v>
      </c>
      <c r="Q88" s="123">
        <v>460</v>
      </c>
      <c r="R88" s="123">
        <v>730</v>
      </c>
    </row>
    <row r="89" spans="1:18" s="210" customFormat="1" ht="15.75">
      <c r="A89" s="93">
        <v>52</v>
      </c>
      <c r="B89" s="98" t="s">
        <v>238</v>
      </c>
      <c r="C89" s="174">
        <f t="shared" si="3"/>
        <v>632</v>
      </c>
      <c r="D89" s="131">
        <v>103</v>
      </c>
      <c r="E89" s="123">
        <v>529</v>
      </c>
      <c r="F89" s="187">
        <f t="shared" si="6"/>
        <v>30</v>
      </c>
      <c r="G89" s="123">
        <v>9</v>
      </c>
      <c r="H89" s="123">
        <v>3</v>
      </c>
      <c r="I89" s="123">
        <v>21</v>
      </c>
      <c r="J89" s="123">
        <v>30</v>
      </c>
      <c r="K89" s="187">
        <f t="shared" si="4"/>
        <v>1059</v>
      </c>
      <c r="L89" s="123">
        <v>603</v>
      </c>
      <c r="M89" s="123">
        <v>456</v>
      </c>
      <c r="N89" s="187">
        <f t="shared" si="9"/>
        <v>188</v>
      </c>
      <c r="O89" s="123">
        <v>138</v>
      </c>
      <c r="P89" s="123">
        <v>16</v>
      </c>
      <c r="Q89" s="123">
        <v>50</v>
      </c>
      <c r="R89" s="123">
        <v>184</v>
      </c>
    </row>
    <row r="90" spans="1:18" s="210" customFormat="1" ht="15.75">
      <c r="A90" s="93">
        <v>53</v>
      </c>
      <c r="B90" s="98" t="s">
        <v>239</v>
      </c>
      <c r="C90" s="174">
        <f t="shared" si="3"/>
        <v>32223</v>
      </c>
      <c r="D90" s="131">
        <v>1009</v>
      </c>
      <c r="E90" s="123">
        <v>31214</v>
      </c>
      <c r="F90" s="187">
        <f t="shared" si="6"/>
        <v>44</v>
      </c>
      <c r="G90" s="123">
        <v>4</v>
      </c>
      <c r="H90" s="257">
        <v>0</v>
      </c>
      <c r="I90" s="123">
        <v>40</v>
      </c>
      <c r="J90" s="123">
        <v>44</v>
      </c>
      <c r="K90" s="187">
        <f t="shared" si="4"/>
        <v>25397</v>
      </c>
      <c r="L90" s="123">
        <v>975</v>
      </c>
      <c r="M90" s="123">
        <v>24422</v>
      </c>
      <c r="N90" s="187">
        <f t="shared" si="9"/>
        <v>44</v>
      </c>
      <c r="O90" s="123">
        <v>4</v>
      </c>
      <c r="P90" s="257">
        <v>0</v>
      </c>
      <c r="Q90" s="123">
        <v>40</v>
      </c>
      <c r="R90" s="123">
        <v>44</v>
      </c>
    </row>
    <row r="91" spans="1:18" s="210" customFormat="1" ht="15.75">
      <c r="A91" s="93">
        <v>54</v>
      </c>
      <c r="B91" s="98" t="s">
        <v>240</v>
      </c>
      <c r="C91" s="174">
        <f t="shared" si="3"/>
        <v>156</v>
      </c>
      <c r="D91" s="131">
        <v>156</v>
      </c>
      <c r="E91" s="123"/>
      <c r="F91" s="187">
        <f t="shared" si="6"/>
        <v>2</v>
      </c>
      <c r="G91" s="123">
        <v>2</v>
      </c>
      <c r="H91" s="123">
        <v>2</v>
      </c>
      <c r="I91" s="123"/>
      <c r="J91" s="123"/>
      <c r="K91" s="187">
        <f t="shared" si="4"/>
        <v>384</v>
      </c>
      <c r="L91" s="123">
        <f>25+111</f>
        <v>136</v>
      </c>
      <c r="M91" s="123">
        <f>0+248</f>
        <v>248</v>
      </c>
      <c r="N91" s="187">
        <f t="shared" si="9"/>
        <v>62</v>
      </c>
      <c r="O91" s="123">
        <f>35+16</f>
        <v>51</v>
      </c>
      <c r="P91" s="123">
        <f>8+7</f>
        <v>15</v>
      </c>
      <c r="Q91" s="123">
        <f>11+0</f>
        <v>11</v>
      </c>
      <c r="R91" s="123">
        <f>43+13</f>
        <v>56</v>
      </c>
    </row>
    <row r="92" spans="1:18" s="210" customFormat="1" ht="15.75">
      <c r="A92" s="93">
        <v>55</v>
      </c>
      <c r="B92" s="98" t="s">
        <v>241</v>
      </c>
      <c r="C92" s="174">
        <f t="shared" si="3"/>
        <v>42314</v>
      </c>
      <c r="D92" s="131">
        <v>452</v>
      </c>
      <c r="E92" s="123">
        <v>41862</v>
      </c>
      <c r="F92" s="187">
        <f t="shared" si="6"/>
        <v>76</v>
      </c>
      <c r="G92" s="123">
        <v>2</v>
      </c>
      <c r="H92" s="123">
        <v>2</v>
      </c>
      <c r="I92" s="123">
        <v>74</v>
      </c>
      <c r="J92" s="123">
        <v>76</v>
      </c>
      <c r="K92" s="187">
        <f t="shared" si="4"/>
        <v>36253</v>
      </c>
      <c r="L92" s="123">
        <v>1365</v>
      </c>
      <c r="M92" s="123">
        <v>34888</v>
      </c>
      <c r="N92" s="187">
        <f t="shared" si="9"/>
        <v>175</v>
      </c>
      <c r="O92" s="123">
        <v>97</v>
      </c>
      <c r="P92" s="123">
        <v>35</v>
      </c>
      <c r="Q92" s="123">
        <v>78</v>
      </c>
      <c r="R92" s="123">
        <v>123</v>
      </c>
    </row>
    <row r="93" spans="1:18" s="210" customFormat="1" ht="21.75" customHeight="1">
      <c r="A93" s="93">
        <v>56</v>
      </c>
      <c r="B93" s="98" t="s">
        <v>242</v>
      </c>
      <c r="C93" s="174">
        <f t="shared" si="3"/>
        <v>29108</v>
      </c>
      <c r="D93" s="131">
        <v>1231</v>
      </c>
      <c r="E93" s="123">
        <v>27877</v>
      </c>
      <c r="F93" s="187">
        <f t="shared" si="6"/>
        <v>252</v>
      </c>
      <c r="G93" s="123">
        <v>189</v>
      </c>
      <c r="H93" s="123">
        <v>14</v>
      </c>
      <c r="I93" s="123">
        <v>63</v>
      </c>
      <c r="J93" s="123">
        <v>189</v>
      </c>
      <c r="K93" s="187">
        <f t="shared" si="4"/>
        <v>5752</v>
      </c>
      <c r="L93" s="123">
        <v>938</v>
      </c>
      <c r="M93" s="123">
        <v>4814</v>
      </c>
      <c r="N93" s="187">
        <f t="shared" si="9"/>
        <v>449</v>
      </c>
      <c r="O93" s="123">
        <v>294</v>
      </c>
      <c r="P93" s="123">
        <v>28</v>
      </c>
      <c r="Q93" s="123">
        <v>155</v>
      </c>
      <c r="R93" s="123">
        <v>369</v>
      </c>
    </row>
    <row r="94" spans="1:18" s="210" customFormat="1" ht="15.75">
      <c r="A94" s="93">
        <v>57</v>
      </c>
      <c r="B94" s="98" t="s">
        <v>243</v>
      </c>
      <c r="C94" s="174">
        <f t="shared" si="3"/>
        <v>52</v>
      </c>
      <c r="D94" s="131">
        <v>51</v>
      </c>
      <c r="E94" s="123">
        <v>1</v>
      </c>
      <c r="F94" s="187">
        <f t="shared" si="6"/>
        <v>2</v>
      </c>
      <c r="G94" s="123">
        <v>1</v>
      </c>
      <c r="H94" s="123"/>
      <c r="I94" s="123">
        <v>1</v>
      </c>
      <c r="J94" s="123">
        <v>2</v>
      </c>
      <c r="K94" s="187">
        <f t="shared" si="4"/>
        <v>1424</v>
      </c>
      <c r="L94" s="123">
        <v>1249</v>
      </c>
      <c r="M94" s="123">
        <v>175</v>
      </c>
      <c r="N94" s="187">
        <f>O94+Q94</f>
        <v>131</v>
      </c>
      <c r="O94" s="123">
        <v>79</v>
      </c>
      <c r="P94" s="123">
        <v>10</v>
      </c>
      <c r="Q94" s="123">
        <v>52</v>
      </c>
      <c r="R94" s="123">
        <v>131</v>
      </c>
    </row>
    <row r="95" spans="1:18" s="211" customFormat="1" ht="15.75">
      <c r="A95" s="93">
        <v>58</v>
      </c>
      <c r="B95" s="98" t="s">
        <v>244</v>
      </c>
      <c r="C95" s="174">
        <f t="shared" si="3"/>
        <v>175</v>
      </c>
      <c r="D95" s="131">
        <v>174</v>
      </c>
      <c r="E95" s="123">
        <v>1</v>
      </c>
      <c r="F95" s="187">
        <f t="shared" si="6"/>
        <v>13</v>
      </c>
      <c r="G95" s="123">
        <v>12</v>
      </c>
      <c r="H95" s="123">
        <v>6</v>
      </c>
      <c r="I95" s="123">
        <v>1</v>
      </c>
      <c r="J95" s="123">
        <v>9</v>
      </c>
      <c r="K95" s="187">
        <f t="shared" si="4"/>
        <v>333</v>
      </c>
      <c r="L95" s="123">
        <v>294</v>
      </c>
      <c r="M95" s="123">
        <v>39</v>
      </c>
      <c r="N95" s="187">
        <f aca="true" t="shared" si="10" ref="N95:N100">O95+Q95</f>
        <v>136</v>
      </c>
      <c r="O95" s="123">
        <v>123</v>
      </c>
      <c r="P95" s="123">
        <v>16</v>
      </c>
      <c r="Q95" s="123">
        <v>13</v>
      </c>
      <c r="R95" s="123">
        <v>63</v>
      </c>
    </row>
    <row r="96" spans="1:18" s="210" customFormat="1" ht="15.75">
      <c r="A96" s="93">
        <v>59</v>
      </c>
      <c r="B96" s="98" t="s">
        <v>245</v>
      </c>
      <c r="C96" s="174">
        <f t="shared" si="3"/>
        <v>13039</v>
      </c>
      <c r="D96" s="131">
        <v>239</v>
      </c>
      <c r="E96" s="123">
        <v>12800</v>
      </c>
      <c r="F96" s="187">
        <f t="shared" si="6"/>
        <v>7</v>
      </c>
      <c r="G96" s="123">
        <v>2</v>
      </c>
      <c r="H96" s="257">
        <v>0</v>
      </c>
      <c r="I96" s="123">
        <v>5</v>
      </c>
      <c r="J96" s="123">
        <v>6</v>
      </c>
      <c r="K96" s="187">
        <f t="shared" si="4"/>
        <v>4108</v>
      </c>
      <c r="L96" s="123">
        <v>43</v>
      </c>
      <c r="M96" s="123">
        <v>4065</v>
      </c>
      <c r="N96" s="187">
        <f t="shared" si="10"/>
        <v>29</v>
      </c>
      <c r="O96" s="123">
        <v>29</v>
      </c>
      <c r="P96" s="257">
        <v>0</v>
      </c>
      <c r="Q96" s="257">
        <v>0</v>
      </c>
      <c r="R96" s="123">
        <v>29</v>
      </c>
    </row>
    <row r="97" spans="1:18" s="210" customFormat="1" ht="15.75">
      <c r="A97" s="93">
        <v>60</v>
      </c>
      <c r="B97" s="98" t="s">
        <v>246</v>
      </c>
      <c r="C97" s="174">
        <f t="shared" si="3"/>
        <v>3407</v>
      </c>
      <c r="D97" s="131">
        <v>408</v>
      </c>
      <c r="E97" s="123">
        <v>2999</v>
      </c>
      <c r="F97" s="187">
        <f t="shared" si="6"/>
        <v>41</v>
      </c>
      <c r="G97" s="123">
        <v>9</v>
      </c>
      <c r="H97" s="123">
        <v>9</v>
      </c>
      <c r="I97" s="123">
        <v>32</v>
      </c>
      <c r="J97" s="123">
        <v>39</v>
      </c>
      <c r="K97" s="187">
        <f t="shared" si="4"/>
        <v>528</v>
      </c>
      <c r="L97" s="123">
        <v>405</v>
      </c>
      <c r="M97" s="123">
        <v>123</v>
      </c>
      <c r="N97" s="187">
        <f t="shared" si="10"/>
        <v>138</v>
      </c>
      <c r="O97" s="123">
        <v>111</v>
      </c>
      <c r="P97" s="123">
        <v>38</v>
      </c>
      <c r="Q97" s="123">
        <v>27</v>
      </c>
      <c r="R97" s="123">
        <v>94</v>
      </c>
    </row>
    <row r="98" spans="1:18" s="210" customFormat="1" ht="15.75">
      <c r="A98" s="93">
        <v>61</v>
      </c>
      <c r="B98" s="98" t="s">
        <v>247</v>
      </c>
      <c r="C98" s="174">
        <f t="shared" si="3"/>
        <v>2550</v>
      </c>
      <c r="D98" s="131">
        <v>222</v>
      </c>
      <c r="E98" s="123">
        <v>2328</v>
      </c>
      <c r="F98" s="187">
        <f t="shared" si="6"/>
        <v>86</v>
      </c>
      <c r="G98" s="123">
        <v>86</v>
      </c>
      <c r="H98" s="123">
        <v>3</v>
      </c>
      <c r="I98" s="257">
        <v>0</v>
      </c>
      <c r="J98" s="123">
        <v>86</v>
      </c>
      <c r="K98" s="187">
        <f t="shared" si="4"/>
        <v>335</v>
      </c>
      <c r="L98" s="123">
        <v>246</v>
      </c>
      <c r="M98" s="123">
        <v>89</v>
      </c>
      <c r="N98" s="187">
        <f t="shared" si="10"/>
        <v>138</v>
      </c>
      <c r="O98" s="123">
        <v>106</v>
      </c>
      <c r="P98" s="257">
        <v>0</v>
      </c>
      <c r="Q98" s="123">
        <v>32</v>
      </c>
      <c r="R98" s="123">
        <v>138</v>
      </c>
    </row>
    <row r="99" spans="1:18" s="210" customFormat="1" ht="19.5" customHeight="1">
      <c r="A99" s="93">
        <v>62</v>
      </c>
      <c r="B99" s="98" t="s">
        <v>248</v>
      </c>
      <c r="C99" s="174">
        <f t="shared" si="3"/>
        <v>1508</v>
      </c>
      <c r="D99" s="131">
        <v>291</v>
      </c>
      <c r="E99" s="123">
        <v>1217</v>
      </c>
      <c r="F99" s="187">
        <f t="shared" si="6"/>
        <v>3</v>
      </c>
      <c r="G99" s="123">
        <v>3</v>
      </c>
      <c r="H99" s="123">
        <v>3</v>
      </c>
      <c r="I99" s="257">
        <v>0</v>
      </c>
      <c r="J99" s="123">
        <v>2</v>
      </c>
      <c r="K99" s="187">
        <f t="shared" si="4"/>
        <v>493</v>
      </c>
      <c r="L99" s="123">
        <v>129</v>
      </c>
      <c r="M99" s="123">
        <v>364</v>
      </c>
      <c r="N99" s="187">
        <f t="shared" si="10"/>
        <v>22</v>
      </c>
      <c r="O99" s="123">
        <v>5</v>
      </c>
      <c r="P99" s="257">
        <v>0</v>
      </c>
      <c r="Q99" s="123">
        <v>17</v>
      </c>
      <c r="R99" s="123">
        <v>1</v>
      </c>
    </row>
    <row r="100" spans="1:18" s="210" customFormat="1" ht="15.75">
      <c r="A100" s="93">
        <v>63</v>
      </c>
      <c r="B100" s="98" t="s">
        <v>249</v>
      </c>
      <c r="C100" s="174">
        <f t="shared" si="3"/>
        <v>39087</v>
      </c>
      <c r="D100" s="131">
        <v>749</v>
      </c>
      <c r="E100" s="123">
        <v>38338</v>
      </c>
      <c r="F100" s="187">
        <f t="shared" si="6"/>
        <v>34</v>
      </c>
      <c r="G100" s="123">
        <v>27</v>
      </c>
      <c r="H100" s="123">
        <v>8</v>
      </c>
      <c r="I100" s="123">
        <v>7</v>
      </c>
      <c r="J100" s="123">
        <v>8</v>
      </c>
      <c r="K100" s="187">
        <f t="shared" si="4"/>
        <v>8661</v>
      </c>
      <c r="L100" s="123">
        <v>580</v>
      </c>
      <c r="M100" s="123">
        <v>8081</v>
      </c>
      <c r="N100" s="187">
        <f t="shared" si="10"/>
        <v>34</v>
      </c>
      <c r="O100" s="123">
        <v>27</v>
      </c>
      <c r="P100" s="123">
        <v>7</v>
      </c>
      <c r="Q100" s="123">
        <v>7</v>
      </c>
      <c r="R100" s="123">
        <v>15</v>
      </c>
    </row>
    <row r="101" spans="1:18" s="22" customFormat="1" ht="15.75">
      <c r="A101" s="14"/>
      <c r="B101" s="76"/>
      <c r="C101" s="61"/>
      <c r="D101" s="61"/>
      <c r="E101" s="14"/>
      <c r="F101" s="14"/>
      <c r="G101" s="14"/>
      <c r="H101" s="14"/>
      <c r="I101" s="14"/>
      <c r="J101" s="14"/>
      <c r="K101" s="14"/>
      <c r="L101" s="14"/>
      <c r="M101" s="14"/>
      <c r="N101" s="14"/>
      <c r="O101" s="14"/>
      <c r="P101" s="14"/>
      <c r="Q101" s="61"/>
      <c r="R101" s="61"/>
    </row>
    <row r="102" spans="1:18" s="102" customFormat="1" ht="12.75">
      <c r="A102" s="32"/>
      <c r="B102" s="32" t="s">
        <v>252</v>
      </c>
      <c r="C102" s="32" t="s">
        <v>303</v>
      </c>
      <c r="D102" s="32"/>
      <c r="E102" s="32"/>
      <c r="F102" s="32"/>
      <c r="G102" s="32"/>
      <c r="H102" s="32"/>
      <c r="I102" s="32"/>
      <c r="J102" s="32"/>
      <c r="K102" s="100"/>
      <c r="L102" s="32"/>
      <c r="M102" s="32"/>
      <c r="N102" s="32"/>
      <c r="O102" s="32"/>
      <c r="P102" s="32"/>
      <c r="Q102" s="32"/>
      <c r="R102" s="32"/>
    </row>
    <row r="103" spans="1:18" s="102" customFormat="1" ht="12.75">
      <c r="A103" s="32"/>
      <c r="B103" s="32" t="s">
        <v>304</v>
      </c>
      <c r="C103" s="32" t="s">
        <v>305</v>
      </c>
      <c r="D103" s="32"/>
      <c r="E103" s="32"/>
      <c r="F103" s="32"/>
      <c r="G103" s="32"/>
      <c r="H103" s="32"/>
      <c r="I103" s="32"/>
      <c r="J103" s="32"/>
      <c r="K103" s="100"/>
      <c r="L103" s="32"/>
      <c r="M103" s="32"/>
      <c r="N103" s="32"/>
      <c r="O103" s="32"/>
      <c r="P103" s="32"/>
      <c r="Q103" s="32"/>
      <c r="R103" s="32"/>
    </row>
    <row r="104" spans="1:18" s="99" customFormat="1" ht="12.75">
      <c r="A104" s="32"/>
      <c r="B104" s="32" t="s">
        <v>278</v>
      </c>
      <c r="C104" s="32" t="s">
        <v>306</v>
      </c>
      <c r="E104" s="32"/>
      <c r="F104" s="32"/>
      <c r="G104" s="32"/>
      <c r="H104" s="32"/>
      <c r="I104" s="32"/>
      <c r="J104" s="32"/>
      <c r="K104" s="100"/>
      <c r="L104" s="32"/>
      <c r="M104" s="32"/>
      <c r="N104" s="32"/>
      <c r="O104" s="32"/>
      <c r="P104" s="32"/>
      <c r="Q104" s="32"/>
      <c r="R104" s="32"/>
    </row>
    <row r="105" spans="1:18" s="22" customFormat="1" ht="12.75">
      <c r="A105" s="14"/>
      <c r="B105" s="61"/>
      <c r="C105" s="61"/>
      <c r="D105" s="14"/>
      <c r="E105" s="14"/>
      <c r="F105" s="14"/>
      <c r="G105" s="14"/>
      <c r="H105" s="14"/>
      <c r="I105" s="14"/>
      <c r="J105" s="14"/>
      <c r="K105" s="200"/>
      <c r="L105" s="14"/>
      <c r="M105" s="14"/>
      <c r="N105" s="14"/>
      <c r="O105" s="14"/>
      <c r="P105" s="14"/>
      <c r="Q105" s="14"/>
      <c r="R105" s="14"/>
    </row>
    <row r="106" spans="1:18" s="102" customFormat="1" ht="12.75">
      <c r="A106" s="32"/>
      <c r="B106" s="32" t="s">
        <v>285</v>
      </c>
      <c r="C106" s="32"/>
      <c r="D106" s="32"/>
      <c r="E106" s="32"/>
      <c r="F106" s="32"/>
      <c r="G106" s="32"/>
      <c r="H106" s="32"/>
      <c r="I106" s="32"/>
      <c r="J106" s="32"/>
      <c r="K106" s="100"/>
      <c r="L106" s="32"/>
      <c r="M106" s="32"/>
      <c r="N106" s="32"/>
      <c r="O106" s="32"/>
      <c r="P106" s="32"/>
      <c r="Q106" s="32"/>
      <c r="R106" s="32"/>
    </row>
    <row r="107" spans="1:18" s="22" customFormat="1" ht="15.75">
      <c r="A107" s="14"/>
      <c r="B107" s="76"/>
      <c r="C107" s="61"/>
      <c r="D107" s="61"/>
      <c r="E107" s="14"/>
      <c r="F107" s="14"/>
      <c r="G107" s="14"/>
      <c r="H107" s="14"/>
      <c r="I107" s="14"/>
      <c r="J107" s="14"/>
      <c r="K107" s="14"/>
      <c r="L107" s="14"/>
      <c r="M107" s="14"/>
      <c r="N107" s="14"/>
      <c r="O107" s="14"/>
      <c r="P107" s="14"/>
      <c r="Q107" s="61"/>
      <c r="R107" s="61"/>
    </row>
    <row r="108" spans="1:18" s="22" customFormat="1" ht="15.75">
      <c r="A108" s="14"/>
      <c r="B108" s="76"/>
      <c r="C108" s="61"/>
      <c r="D108" s="61"/>
      <c r="E108" s="14"/>
      <c r="F108" s="14"/>
      <c r="G108" s="14"/>
      <c r="H108" s="14"/>
      <c r="I108" s="14"/>
      <c r="J108" s="14"/>
      <c r="K108" s="14"/>
      <c r="L108" s="14"/>
      <c r="M108" s="14"/>
      <c r="N108" s="14"/>
      <c r="O108" s="14"/>
      <c r="P108" s="14"/>
      <c r="Q108" s="61"/>
      <c r="R108" s="61"/>
    </row>
    <row r="109" spans="1:18" s="22" customFormat="1" ht="15.75">
      <c r="A109" s="14"/>
      <c r="B109" s="76"/>
      <c r="C109" s="61"/>
      <c r="D109" s="61"/>
      <c r="E109" s="14"/>
      <c r="F109" s="14"/>
      <c r="G109" s="14"/>
      <c r="H109" s="14"/>
      <c r="I109" s="14"/>
      <c r="J109" s="14"/>
      <c r="K109" s="14"/>
      <c r="L109" s="14"/>
      <c r="M109" s="14"/>
      <c r="N109" s="14"/>
      <c r="O109" s="14"/>
      <c r="P109" s="14"/>
      <c r="Q109" s="61"/>
      <c r="R109" s="61"/>
    </row>
    <row r="110" spans="1:18" s="22" customFormat="1" ht="15.75">
      <c r="A110" s="14"/>
      <c r="B110" s="76"/>
      <c r="C110" s="61"/>
      <c r="D110" s="61"/>
      <c r="E110" s="14"/>
      <c r="F110" s="14"/>
      <c r="G110" s="14"/>
      <c r="H110" s="14"/>
      <c r="I110" s="14"/>
      <c r="J110" s="14"/>
      <c r="K110" s="14"/>
      <c r="L110" s="14"/>
      <c r="M110" s="14"/>
      <c r="N110" s="14"/>
      <c r="O110" s="14"/>
      <c r="P110" s="14"/>
      <c r="Q110" s="61"/>
      <c r="R110" s="61"/>
    </row>
    <row r="111" spans="1:18" s="22" customFormat="1" ht="15.75">
      <c r="A111" s="14"/>
      <c r="B111" s="76"/>
      <c r="C111" s="61"/>
      <c r="D111" s="61"/>
      <c r="E111" s="14"/>
      <c r="F111" s="14"/>
      <c r="G111" s="14"/>
      <c r="H111" s="14"/>
      <c r="I111" s="14"/>
      <c r="J111" s="14"/>
      <c r="K111" s="14"/>
      <c r="L111" s="14"/>
      <c r="M111" s="14"/>
      <c r="N111" s="14"/>
      <c r="O111" s="14"/>
      <c r="P111" s="14"/>
      <c r="Q111" s="61"/>
      <c r="R111" s="61"/>
    </row>
    <row r="112" spans="1:18" s="22" customFormat="1" ht="15.75">
      <c r="A112" s="14"/>
      <c r="B112" s="76"/>
      <c r="C112" s="61"/>
      <c r="D112" s="61"/>
      <c r="E112" s="14"/>
      <c r="F112" s="14"/>
      <c r="G112" s="14"/>
      <c r="H112" s="14"/>
      <c r="I112" s="14"/>
      <c r="J112" s="14"/>
      <c r="K112" s="14"/>
      <c r="L112" s="14"/>
      <c r="M112" s="14"/>
      <c r="N112" s="14"/>
      <c r="O112" s="14"/>
      <c r="P112" s="14"/>
      <c r="Q112" s="61"/>
      <c r="R112" s="61"/>
    </row>
    <row r="113" spans="1:18" s="22" customFormat="1" ht="15.75">
      <c r="A113" s="14"/>
      <c r="B113" s="76"/>
      <c r="C113" s="61"/>
      <c r="D113" s="61"/>
      <c r="E113" s="14"/>
      <c r="F113" s="14"/>
      <c r="G113" s="14"/>
      <c r="H113" s="14"/>
      <c r="I113" s="14"/>
      <c r="J113" s="14"/>
      <c r="K113" s="14"/>
      <c r="L113" s="14"/>
      <c r="M113" s="14"/>
      <c r="N113" s="14"/>
      <c r="O113" s="14"/>
      <c r="P113" s="14"/>
      <c r="Q113" s="61"/>
      <c r="R113" s="61"/>
    </row>
    <row r="114" spans="1:18" s="7" customFormat="1" ht="15.75">
      <c r="A114" s="14"/>
      <c r="B114" s="76"/>
      <c r="C114" s="61"/>
      <c r="D114" s="61"/>
      <c r="E114" s="14"/>
      <c r="F114" s="14"/>
      <c r="G114" s="14"/>
      <c r="H114" s="14"/>
      <c r="I114" s="14"/>
      <c r="J114" s="14"/>
      <c r="K114" s="14"/>
      <c r="L114" s="14"/>
      <c r="M114" s="14"/>
      <c r="N114" s="14"/>
      <c r="O114" s="14"/>
      <c r="P114" s="14"/>
      <c r="Q114" s="61"/>
      <c r="R114" s="61"/>
    </row>
    <row r="115" spans="1:18" s="22" customFormat="1" ht="15.75">
      <c r="A115" s="14"/>
      <c r="B115" s="76"/>
      <c r="C115" s="61"/>
      <c r="D115" s="61"/>
      <c r="E115" s="14"/>
      <c r="F115" s="14"/>
      <c r="G115" s="14"/>
      <c r="H115" s="14"/>
      <c r="I115" s="14"/>
      <c r="J115" s="14"/>
      <c r="K115" s="14"/>
      <c r="L115" s="14"/>
      <c r="M115" s="14"/>
      <c r="N115" s="14"/>
      <c r="O115" s="14"/>
      <c r="P115" s="14"/>
      <c r="Q115" s="61"/>
      <c r="R115" s="61"/>
    </row>
    <row r="116" spans="1:18" s="22" customFormat="1" ht="15.75">
      <c r="A116" s="14"/>
      <c r="B116" s="76"/>
      <c r="C116" s="61"/>
      <c r="D116" s="61"/>
      <c r="E116" s="14"/>
      <c r="F116" s="14"/>
      <c r="G116" s="14"/>
      <c r="H116" s="14"/>
      <c r="I116" s="14"/>
      <c r="J116" s="14"/>
      <c r="K116" s="14"/>
      <c r="L116" s="14"/>
      <c r="M116" s="14"/>
      <c r="N116" s="14"/>
      <c r="O116" s="14"/>
      <c r="P116" s="14"/>
      <c r="Q116" s="61"/>
      <c r="R116" s="61"/>
    </row>
    <row r="117" spans="1:18" s="207" customFormat="1" ht="15.75">
      <c r="A117" s="14"/>
      <c r="B117" s="76"/>
      <c r="C117" s="61"/>
      <c r="D117" s="61"/>
      <c r="E117" s="14"/>
      <c r="F117" s="14"/>
      <c r="G117" s="14"/>
      <c r="H117" s="14"/>
      <c r="I117" s="14"/>
      <c r="J117" s="14"/>
      <c r="K117" s="14"/>
      <c r="L117" s="14"/>
      <c r="M117" s="14"/>
      <c r="N117" s="14"/>
      <c r="O117" s="14"/>
      <c r="P117" s="14"/>
      <c r="Q117" s="61"/>
      <c r="R117" s="61"/>
    </row>
    <row r="118" spans="1:18" s="7" customFormat="1" ht="15.75">
      <c r="A118" s="14"/>
      <c r="B118" s="76"/>
      <c r="C118" s="61"/>
      <c r="D118" s="61"/>
      <c r="E118" s="14"/>
      <c r="F118" s="14"/>
      <c r="G118" s="14"/>
      <c r="H118" s="14"/>
      <c r="I118" s="14"/>
      <c r="J118" s="14"/>
      <c r="K118" s="14"/>
      <c r="L118" s="14"/>
      <c r="M118" s="14"/>
      <c r="N118" s="14"/>
      <c r="O118" s="14"/>
      <c r="P118" s="14"/>
      <c r="Q118" s="61"/>
      <c r="R118" s="61"/>
    </row>
    <row r="119" spans="1:18" s="22" customFormat="1" ht="15.75">
      <c r="A119" s="14"/>
      <c r="B119" s="76"/>
      <c r="C119" s="61"/>
      <c r="D119" s="61"/>
      <c r="E119" s="14"/>
      <c r="F119" s="14"/>
      <c r="G119" s="14"/>
      <c r="H119" s="14"/>
      <c r="I119" s="14"/>
      <c r="J119" s="14"/>
      <c r="K119" s="14"/>
      <c r="L119" s="14"/>
      <c r="M119" s="14"/>
      <c r="N119" s="14"/>
      <c r="O119" s="14"/>
      <c r="P119" s="14"/>
      <c r="Q119" s="61"/>
      <c r="R119" s="61"/>
    </row>
    <row r="120" spans="1:18" s="22" customFormat="1" ht="15.75">
      <c r="A120" s="14"/>
      <c r="B120" s="76"/>
      <c r="C120" s="61"/>
      <c r="D120" s="61"/>
      <c r="E120" s="14"/>
      <c r="F120" s="14"/>
      <c r="G120" s="14"/>
      <c r="H120" s="14"/>
      <c r="I120" s="14"/>
      <c r="J120" s="14"/>
      <c r="K120" s="14"/>
      <c r="L120" s="14"/>
      <c r="M120" s="14"/>
      <c r="N120" s="14"/>
      <c r="O120" s="14"/>
      <c r="P120" s="14"/>
      <c r="Q120" s="61"/>
      <c r="R120" s="61"/>
    </row>
    <row r="121" spans="1:18" s="7" customFormat="1" ht="15.75">
      <c r="A121" s="14"/>
      <c r="B121" s="76"/>
      <c r="C121" s="61"/>
      <c r="D121" s="61"/>
      <c r="E121" s="14"/>
      <c r="F121" s="14"/>
      <c r="G121" s="14"/>
      <c r="H121" s="14"/>
      <c r="I121" s="14"/>
      <c r="J121" s="14"/>
      <c r="K121" s="14"/>
      <c r="L121" s="14"/>
      <c r="M121" s="14"/>
      <c r="N121" s="14"/>
      <c r="O121" s="14"/>
      <c r="P121" s="14"/>
      <c r="Q121" s="61"/>
      <c r="R121" s="61"/>
    </row>
    <row r="122" spans="1:18" s="22" customFormat="1" ht="15.75">
      <c r="A122" s="14"/>
      <c r="B122" s="76"/>
      <c r="C122" s="61"/>
      <c r="D122" s="61"/>
      <c r="E122" s="14"/>
      <c r="F122" s="14"/>
      <c r="G122" s="14"/>
      <c r="H122" s="14"/>
      <c r="I122" s="14"/>
      <c r="J122" s="14"/>
      <c r="K122" s="14"/>
      <c r="L122" s="14"/>
      <c r="M122" s="14"/>
      <c r="N122" s="14"/>
      <c r="O122" s="14"/>
      <c r="P122" s="14"/>
      <c r="Q122" s="61"/>
      <c r="R122" s="61"/>
    </row>
    <row r="123" spans="1:18" s="22" customFormat="1" ht="15.75">
      <c r="A123" s="14"/>
      <c r="B123" s="76"/>
      <c r="C123" s="61"/>
      <c r="D123" s="61"/>
      <c r="E123" s="14"/>
      <c r="F123" s="14"/>
      <c r="G123" s="14"/>
      <c r="H123" s="14"/>
      <c r="I123" s="14"/>
      <c r="J123" s="14"/>
      <c r="K123" s="14"/>
      <c r="L123" s="14"/>
      <c r="M123" s="14"/>
      <c r="N123" s="14"/>
      <c r="O123" s="14"/>
      <c r="P123" s="14"/>
      <c r="Q123" s="61"/>
      <c r="R123" s="61"/>
    </row>
    <row r="124" spans="1:18" s="22" customFormat="1" ht="15.75">
      <c r="A124" s="14"/>
      <c r="B124" s="76"/>
      <c r="C124" s="61"/>
      <c r="D124" s="61"/>
      <c r="E124" s="14"/>
      <c r="F124" s="14"/>
      <c r="G124" s="14"/>
      <c r="H124" s="14"/>
      <c r="I124" s="14"/>
      <c r="J124" s="14"/>
      <c r="K124" s="14"/>
      <c r="L124" s="14"/>
      <c r="M124" s="14"/>
      <c r="N124" s="14"/>
      <c r="O124" s="14"/>
      <c r="P124" s="14"/>
      <c r="Q124" s="61"/>
      <c r="R124" s="61"/>
    </row>
    <row r="125" spans="1:18" s="22" customFormat="1" ht="15.75">
      <c r="A125" s="14"/>
      <c r="B125" s="76"/>
      <c r="C125" s="61"/>
      <c r="D125" s="61"/>
      <c r="E125" s="14"/>
      <c r="F125" s="14"/>
      <c r="G125" s="14"/>
      <c r="H125" s="14"/>
      <c r="I125" s="14"/>
      <c r="J125" s="14"/>
      <c r="K125" s="14"/>
      <c r="L125" s="14"/>
      <c r="M125" s="14"/>
      <c r="N125" s="14"/>
      <c r="O125" s="14"/>
      <c r="P125" s="14"/>
      <c r="Q125" s="61"/>
      <c r="R125" s="61"/>
    </row>
    <row r="126" spans="1:18" s="7" customFormat="1" ht="15.75">
      <c r="A126" s="14"/>
      <c r="B126" s="76"/>
      <c r="C126" s="61"/>
      <c r="D126" s="61"/>
      <c r="E126" s="14"/>
      <c r="F126" s="14"/>
      <c r="G126" s="14"/>
      <c r="H126" s="14"/>
      <c r="I126" s="14"/>
      <c r="J126" s="14"/>
      <c r="K126" s="14"/>
      <c r="L126" s="14"/>
      <c r="M126" s="14"/>
      <c r="N126" s="14"/>
      <c r="O126" s="14"/>
      <c r="P126" s="14"/>
      <c r="Q126" s="61"/>
      <c r="R126" s="61"/>
    </row>
    <row r="127" spans="1:18" s="22" customFormat="1" ht="15.75">
      <c r="A127" s="14"/>
      <c r="B127" s="76"/>
      <c r="C127" s="61"/>
      <c r="D127" s="61"/>
      <c r="E127" s="14"/>
      <c r="F127" s="14"/>
      <c r="G127" s="14"/>
      <c r="H127" s="14"/>
      <c r="I127" s="14"/>
      <c r="J127" s="14"/>
      <c r="K127" s="14"/>
      <c r="L127" s="14"/>
      <c r="M127" s="14"/>
      <c r="N127" s="14"/>
      <c r="O127" s="14"/>
      <c r="P127" s="14"/>
      <c r="Q127" s="61"/>
      <c r="R127" s="61"/>
    </row>
    <row r="128" spans="1:18" s="22" customFormat="1" ht="15.75">
      <c r="A128" s="14"/>
      <c r="B128" s="76"/>
      <c r="C128" s="61"/>
      <c r="D128" s="61"/>
      <c r="E128" s="14"/>
      <c r="F128" s="14"/>
      <c r="G128" s="14"/>
      <c r="H128" s="14"/>
      <c r="I128" s="14"/>
      <c r="J128" s="14"/>
      <c r="K128" s="14"/>
      <c r="L128" s="14"/>
      <c r="M128" s="14"/>
      <c r="N128" s="14"/>
      <c r="O128" s="14"/>
      <c r="P128" s="14"/>
      <c r="Q128" s="61"/>
      <c r="R128" s="61"/>
    </row>
    <row r="129" spans="1:18" s="22" customFormat="1" ht="15.75">
      <c r="A129" s="14"/>
      <c r="B129" s="76"/>
      <c r="C129" s="61"/>
      <c r="D129" s="61"/>
      <c r="E129" s="14"/>
      <c r="F129" s="14"/>
      <c r="G129" s="14"/>
      <c r="H129" s="14"/>
      <c r="I129" s="14"/>
      <c r="J129" s="14"/>
      <c r="K129" s="14"/>
      <c r="L129" s="14"/>
      <c r="M129" s="14"/>
      <c r="N129" s="14"/>
      <c r="O129" s="14"/>
      <c r="P129" s="14"/>
      <c r="Q129" s="61"/>
      <c r="R129" s="61"/>
    </row>
    <row r="130" spans="1:18" s="22" customFormat="1" ht="15.75">
      <c r="A130" s="14"/>
      <c r="B130" s="76"/>
      <c r="C130" s="61"/>
      <c r="D130" s="61"/>
      <c r="E130" s="14"/>
      <c r="F130" s="14"/>
      <c r="G130" s="14"/>
      <c r="H130" s="14"/>
      <c r="I130" s="14"/>
      <c r="J130" s="14"/>
      <c r="K130" s="14"/>
      <c r="L130" s="14"/>
      <c r="M130" s="14"/>
      <c r="N130" s="14"/>
      <c r="O130" s="14"/>
      <c r="P130" s="14"/>
      <c r="Q130" s="61"/>
      <c r="R130" s="61"/>
    </row>
    <row r="131" spans="1:18" s="22" customFormat="1" ht="15.75">
      <c r="A131" s="14"/>
      <c r="B131" s="76"/>
      <c r="C131" s="61"/>
      <c r="D131" s="61"/>
      <c r="E131" s="14"/>
      <c r="F131" s="14"/>
      <c r="G131" s="14"/>
      <c r="H131" s="14"/>
      <c r="I131" s="14"/>
      <c r="J131" s="14"/>
      <c r="K131" s="14"/>
      <c r="L131" s="14"/>
      <c r="M131" s="14"/>
      <c r="N131" s="14"/>
      <c r="O131" s="14"/>
      <c r="P131" s="14"/>
      <c r="Q131" s="61"/>
      <c r="R131" s="61"/>
    </row>
    <row r="132" spans="1:18" s="22" customFormat="1" ht="15.75">
      <c r="A132" s="14"/>
      <c r="B132" s="76"/>
      <c r="C132" s="61"/>
      <c r="D132" s="61"/>
      <c r="E132" s="14"/>
      <c r="F132" s="14"/>
      <c r="G132" s="14"/>
      <c r="H132" s="14"/>
      <c r="I132" s="14"/>
      <c r="J132" s="14"/>
      <c r="K132" s="14"/>
      <c r="L132" s="14"/>
      <c r="M132" s="14"/>
      <c r="N132" s="14"/>
      <c r="O132" s="14"/>
      <c r="P132" s="14"/>
      <c r="Q132" s="61"/>
      <c r="R132" s="61"/>
    </row>
    <row r="133" spans="1:18" s="7" customFormat="1" ht="15.75">
      <c r="A133" s="14"/>
      <c r="B133" s="76"/>
      <c r="C133" s="61"/>
      <c r="D133" s="61"/>
      <c r="E133" s="14"/>
      <c r="F133" s="14"/>
      <c r="G133" s="14"/>
      <c r="H133" s="14"/>
      <c r="I133" s="14"/>
      <c r="J133" s="14"/>
      <c r="K133" s="14"/>
      <c r="L133" s="14"/>
      <c r="M133" s="14"/>
      <c r="N133" s="14"/>
      <c r="O133" s="14"/>
      <c r="P133" s="14"/>
      <c r="Q133" s="61"/>
      <c r="R133" s="61"/>
    </row>
    <row r="134" spans="1:18" s="22" customFormat="1" ht="15.75">
      <c r="A134" s="14"/>
      <c r="B134" s="76"/>
      <c r="C134" s="61"/>
      <c r="D134" s="61"/>
      <c r="E134" s="14"/>
      <c r="F134" s="14"/>
      <c r="G134" s="14"/>
      <c r="H134" s="14"/>
      <c r="I134" s="14"/>
      <c r="J134" s="14"/>
      <c r="K134" s="14"/>
      <c r="L134" s="14"/>
      <c r="M134" s="14"/>
      <c r="N134" s="14"/>
      <c r="O134" s="14"/>
      <c r="P134" s="14"/>
      <c r="Q134" s="61"/>
      <c r="R134" s="61"/>
    </row>
    <row r="135" spans="1:18" s="22" customFormat="1" ht="15.75">
      <c r="A135" s="14"/>
      <c r="B135" s="76"/>
      <c r="C135" s="61"/>
      <c r="D135" s="61"/>
      <c r="E135" s="14"/>
      <c r="F135" s="14"/>
      <c r="G135" s="14"/>
      <c r="H135" s="14"/>
      <c r="I135" s="14"/>
      <c r="J135" s="14"/>
      <c r="K135" s="14"/>
      <c r="L135" s="14"/>
      <c r="M135" s="14"/>
      <c r="N135" s="14"/>
      <c r="O135" s="14"/>
      <c r="P135" s="14"/>
      <c r="Q135" s="61"/>
      <c r="R135" s="61"/>
    </row>
    <row r="136" spans="1:18" s="7" customFormat="1" ht="15.75">
      <c r="A136" s="14"/>
      <c r="B136" s="76"/>
      <c r="C136" s="61"/>
      <c r="D136" s="61"/>
      <c r="E136" s="14"/>
      <c r="F136" s="14"/>
      <c r="G136" s="14"/>
      <c r="H136" s="14"/>
      <c r="I136" s="14"/>
      <c r="J136" s="14"/>
      <c r="K136" s="14"/>
      <c r="L136" s="14"/>
      <c r="M136" s="14"/>
      <c r="N136" s="14"/>
      <c r="O136" s="14"/>
      <c r="P136" s="14"/>
      <c r="Q136" s="61"/>
      <c r="R136" s="61"/>
    </row>
    <row r="137" spans="2:18" s="7" customFormat="1" ht="28.5" customHeight="1">
      <c r="B137" s="78"/>
      <c r="Q137" s="207"/>
      <c r="R137" s="207"/>
    </row>
    <row r="138" spans="5:18" ht="15.75">
      <c r="E138" s="14"/>
      <c r="F138" s="14"/>
      <c r="G138" s="14"/>
      <c r="H138" s="14"/>
      <c r="I138" s="14"/>
      <c r="J138" s="14"/>
      <c r="K138" s="14"/>
      <c r="L138" s="14"/>
      <c r="M138" s="14"/>
      <c r="N138" s="14"/>
      <c r="O138" s="14"/>
      <c r="P138" s="14"/>
      <c r="Q138" s="61"/>
      <c r="R138" s="61"/>
    </row>
    <row r="139" spans="5:18" ht="15.75">
      <c r="E139" s="14"/>
      <c r="F139" s="14"/>
      <c r="G139" s="14"/>
      <c r="H139" s="14"/>
      <c r="I139" s="14"/>
      <c r="J139" s="14"/>
      <c r="K139" s="14"/>
      <c r="L139" s="14"/>
      <c r="M139" s="14"/>
      <c r="N139" s="14"/>
      <c r="O139" s="14"/>
      <c r="P139" s="14"/>
      <c r="Q139" s="61"/>
      <c r="R139" s="61"/>
    </row>
    <row r="140" spans="5:18" ht="15.75">
      <c r="E140" s="14"/>
      <c r="F140" s="14"/>
      <c r="G140" s="14"/>
      <c r="H140" s="14"/>
      <c r="I140" s="14"/>
      <c r="J140" s="14"/>
      <c r="K140" s="14"/>
      <c r="L140" s="14"/>
      <c r="M140" s="14"/>
      <c r="N140" s="14"/>
      <c r="O140" s="14"/>
      <c r="P140" s="14"/>
      <c r="Q140" s="61"/>
      <c r="R140" s="61"/>
    </row>
    <row r="141" spans="5:18" ht="15.75">
      <c r="E141" s="14"/>
      <c r="F141" s="14"/>
      <c r="G141" s="14"/>
      <c r="H141" s="14"/>
      <c r="I141" s="14"/>
      <c r="J141" s="14"/>
      <c r="K141" s="14"/>
      <c r="L141" s="14"/>
      <c r="M141" s="14"/>
      <c r="N141" s="14"/>
      <c r="O141" s="14"/>
      <c r="P141" s="14"/>
      <c r="Q141" s="61"/>
      <c r="R141" s="61"/>
    </row>
    <row r="142" spans="5:18" ht="15.75">
      <c r="E142" s="14"/>
      <c r="F142" s="14"/>
      <c r="G142" s="14"/>
      <c r="H142" s="14"/>
      <c r="I142" s="14"/>
      <c r="J142" s="14"/>
      <c r="K142" s="14"/>
      <c r="L142" s="14"/>
      <c r="M142" s="14"/>
      <c r="N142" s="14"/>
      <c r="O142" s="14"/>
      <c r="P142" s="14"/>
      <c r="Q142" s="61"/>
      <c r="R142" s="61"/>
    </row>
    <row r="143" spans="5:18" ht="15.75">
      <c r="E143" s="14"/>
      <c r="F143" s="14"/>
      <c r="G143" s="14"/>
      <c r="H143" s="14"/>
      <c r="I143" s="14"/>
      <c r="J143" s="14"/>
      <c r="K143" s="14"/>
      <c r="L143" s="14"/>
      <c r="M143" s="14"/>
      <c r="N143" s="14"/>
      <c r="O143" s="14"/>
      <c r="P143" s="14"/>
      <c r="Q143" s="61"/>
      <c r="R143" s="61"/>
    </row>
    <row r="144" spans="5:18" ht="15.75">
      <c r="E144" s="14"/>
      <c r="F144" s="14"/>
      <c r="G144" s="14"/>
      <c r="H144" s="14"/>
      <c r="I144" s="14"/>
      <c r="J144" s="14"/>
      <c r="K144" s="14"/>
      <c r="L144" s="14"/>
      <c r="M144" s="14"/>
      <c r="N144" s="14"/>
      <c r="O144" s="14"/>
      <c r="P144" s="14"/>
      <c r="Q144" s="61"/>
      <c r="R144" s="61"/>
    </row>
    <row r="145" spans="5:18" ht="15.75">
      <c r="E145" s="14"/>
      <c r="F145" s="14"/>
      <c r="G145" s="14"/>
      <c r="H145" s="14"/>
      <c r="I145" s="14"/>
      <c r="J145" s="14"/>
      <c r="K145" s="14"/>
      <c r="L145" s="14"/>
      <c r="M145" s="14"/>
      <c r="N145" s="14"/>
      <c r="O145" s="14"/>
      <c r="P145" s="14"/>
      <c r="Q145" s="61"/>
      <c r="R145" s="61"/>
    </row>
    <row r="146" spans="5:18" ht="15.75">
      <c r="E146" s="14"/>
      <c r="F146" s="14"/>
      <c r="G146" s="14"/>
      <c r="H146" s="14"/>
      <c r="I146" s="14"/>
      <c r="J146" s="14"/>
      <c r="K146" s="14"/>
      <c r="L146" s="14"/>
      <c r="M146" s="14"/>
      <c r="N146" s="14"/>
      <c r="O146" s="14"/>
      <c r="P146" s="14"/>
      <c r="Q146" s="61"/>
      <c r="R146" s="61"/>
    </row>
    <row r="147" spans="5:18" ht="15.75">
      <c r="E147" s="14"/>
      <c r="F147" s="14"/>
      <c r="G147" s="14"/>
      <c r="H147" s="14"/>
      <c r="I147" s="14"/>
      <c r="J147" s="14"/>
      <c r="K147" s="14"/>
      <c r="L147" s="14"/>
      <c r="M147" s="14"/>
      <c r="N147" s="14"/>
      <c r="O147" s="14"/>
      <c r="P147" s="14"/>
      <c r="Q147" s="61"/>
      <c r="R147" s="61"/>
    </row>
    <row r="148" spans="5:18" ht="15.75">
      <c r="E148" s="14"/>
      <c r="F148" s="14"/>
      <c r="G148" s="14"/>
      <c r="H148" s="14"/>
      <c r="I148" s="14"/>
      <c r="J148" s="14"/>
      <c r="K148" s="14"/>
      <c r="L148" s="14"/>
      <c r="M148" s="14"/>
      <c r="N148" s="14"/>
      <c r="O148" s="14"/>
      <c r="P148" s="14"/>
      <c r="Q148" s="61"/>
      <c r="R148" s="61"/>
    </row>
    <row r="149" spans="5:18" ht="15.75">
      <c r="E149" s="14"/>
      <c r="F149" s="14"/>
      <c r="G149" s="14"/>
      <c r="H149" s="14"/>
      <c r="I149" s="14"/>
      <c r="J149" s="14"/>
      <c r="K149" s="14"/>
      <c r="L149" s="14"/>
      <c r="M149" s="14"/>
      <c r="N149" s="14"/>
      <c r="O149" s="14"/>
      <c r="P149" s="14"/>
      <c r="Q149" s="61"/>
      <c r="R149" s="61"/>
    </row>
    <row r="150" spans="5:18" ht="15.75">
      <c r="E150" s="14"/>
      <c r="F150" s="14"/>
      <c r="G150" s="14"/>
      <c r="H150" s="14"/>
      <c r="I150" s="14"/>
      <c r="J150" s="14"/>
      <c r="K150" s="14"/>
      <c r="L150" s="14"/>
      <c r="M150" s="14"/>
      <c r="N150" s="14"/>
      <c r="O150" s="14"/>
      <c r="P150" s="14"/>
      <c r="Q150" s="61"/>
      <c r="R150" s="61"/>
    </row>
    <row r="151" spans="5:18" ht="15.75">
      <c r="E151" s="14"/>
      <c r="F151" s="14"/>
      <c r="G151" s="14"/>
      <c r="H151" s="14"/>
      <c r="I151" s="14"/>
      <c r="J151" s="14"/>
      <c r="K151" s="14"/>
      <c r="L151" s="14"/>
      <c r="M151" s="14"/>
      <c r="N151" s="14"/>
      <c r="O151" s="14"/>
      <c r="P151" s="14"/>
      <c r="Q151" s="61"/>
      <c r="R151" s="61"/>
    </row>
    <row r="152" spans="5:18" ht="15.75">
      <c r="E152" s="14"/>
      <c r="F152" s="14"/>
      <c r="G152" s="14"/>
      <c r="H152" s="14"/>
      <c r="I152" s="14"/>
      <c r="J152" s="14"/>
      <c r="K152" s="14"/>
      <c r="L152" s="14"/>
      <c r="M152" s="14"/>
      <c r="N152" s="14"/>
      <c r="O152" s="14"/>
      <c r="P152" s="14"/>
      <c r="Q152" s="61"/>
      <c r="R152" s="61"/>
    </row>
    <row r="153" spans="5:18" ht="15.75">
      <c r="E153" s="14"/>
      <c r="F153" s="14"/>
      <c r="G153" s="14"/>
      <c r="H153" s="14"/>
      <c r="I153" s="14"/>
      <c r="J153" s="14"/>
      <c r="K153" s="14"/>
      <c r="L153" s="14"/>
      <c r="M153" s="14"/>
      <c r="N153" s="14"/>
      <c r="O153" s="14"/>
      <c r="P153" s="14"/>
      <c r="Q153" s="61"/>
      <c r="R153" s="61"/>
    </row>
    <row r="154" spans="5:18" ht="15.75">
      <c r="E154" s="14"/>
      <c r="F154" s="14"/>
      <c r="G154" s="14"/>
      <c r="H154" s="14"/>
      <c r="I154" s="14"/>
      <c r="J154" s="14"/>
      <c r="K154" s="14"/>
      <c r="L154" s="14"/>
      <c r="M154" s="14"/>
      <c r="N154" s="14"/>
      <c r="O154" s="14"/>
      <c r="P154" s="14"/>
      <c r="Q154" s="61"/>
      <c r="R154" s="61"/>
    </row>
    <row r="155" spans="5:18" ht="15.75">
      <c r="E155" s="14"/>
      <c r="F155" s="14"/>
      <c r="G155" s="14"/>
      <c r="H155" s="14"/>
      <c r="I155" s="14"/>
      <c r="J155" s="14"/>
      <c r="K155" s="14"/>
      <c r="L155" s="14"/>
      <c r="M155" s="14"/>
      <c r="N155" s="14"/>
      <c r="O155" s="14"/>
      <c r="P155" s="14"/>
      <c r="Q155" s="61"/>
      <c r="R155" s="61"/>
    </row>
    <row r="156" spans="5:18" ht="15.75">
      <c r="E156" s="14"/>
      <c r="F156" s="14"/>
      <c r="G156" s="14"/>
      <c r="H156" s="14"/>
      <c r="I156" s="14"/>
      <c r="J156" s="14"/>
      <c r="K156" s="14"/>
      <c r="L156" s="14"/>
      <c r="M156" s="14"/>
      <c r="N156" s="14"/>
      <c r="O156" s="14"/>
      <c r="P156" s="14"/>
      <c r="Q156" s="61"/>
      <c r="R156" s="61"/>
    </row>
    <row r="157" spans="5:18" ht="15.75">
      <c r="E157" s="14"/>
      <c r="F157" s="14"/>
      <c r="G157" s="14"/>
      <c r="H157" s="14"/>
      <c r="I157" s="14"/>
      <c r="J157" s="14"/>
      <c r="K157" s="14"/>
      <c r="L157" s="14"/>
      <c r="M157" s="14"/>
      <c r="N157" s="14"/>
      <c r="O157" s="14"/>
      <c r="P157" s="14"/>
      <c r="Q157" s="61"/>
      <c r="R157" s="61"/>
    </row>
    <row r="158" spans="5:18" ht="15.75">
      <c r="E158" s="14"/>
      <c r="F158" s="14"/>
      <c r="G158" s="14"/>
      <c r="H158" s="14"/>
      <c r="I158" s="14"/>
      <c r="J158" s="14"/>
      <c r="K158" s="14"/>
      <c r="L158" s="14"/>
      <c r="M158" s="14"/>
      <c r="N158" s="14"/>
      <c r="O158" s="14"/>
      <c r="P158" s="14"/>
      <c r="Q158" s="61"/>
      <c r="R158" s="61"/>
    </row>
    <row r="159" spans="5:18" ht="15.75">
      <c r="E159" s="14"/>
      <c r="F159" s="14"/>
      <c r="G159" s="14"/>
      <c r="H159" s="14"/>
      <c r="I159" s="14"/>
      <c r="J159" s="14"/>
      <c r="K159" s="14"/>
      <c r="L159" s="14"/>
      <c r="M159" s="14"/>
      <c r="N159" s="14"/>
      <c r="O159" s="14"/>
      <c r="P159" s="14"/>
      <c r="Q159" s="61"/>
      <c r="R159" s="61"/>
    </row>
    <row r="160" spans="5:18" ht="15.75">
      <c r="E160" s="14"/>
      <c r="F160" s="14"/>
      <c r="G160" s="14"/>
      <c r="H160" s="14"/>
      <c r="I160" s="14"/>
      <c r="J160" s="14"/>
      <c r="K160" s="14"/>
      <c r="L160" s="14"/>
      <c r="M160" s="14"/>
      <c r="N160" s="14"/>
      <c r="O160" s="14"/>
      <c r="P160" s="14"/>
      <c r="Q160" s="61"/>
      <c r="R160" s="61"/>
    </row>
    <row r="161" spans="5:18" ht="15.75">
      <c r="E161" s="14"/>
      <c r="F161" s="14"/>
      <c r="G161" s="14"/>
      <c r="H161" s="14"/>
      <c r="I161" s="14"/>
      <c r="J161" s="14"/>
      <c r="K161" s="14"/>
      <c r="L161" s="14"/>
      <c r="M161" s="14"/>
      <c r="N161" s="14"/>
      <c r="O161" s="14"/>
      <c r="P161" s="14"/>
      <c r="Q161" s="61"/>
      <c r="R161" s="61"/>
    </row>
    <row r="162" spans="5:18" ht="15.75">
      <c r="E162" s="14"/>
      <c r="F162" s="14"/>
      <c r="G162" s="14"/>
      <c r="H162" s="14"/>
      <c r="I162" s="14"/>
      <c r="J162" s="14"/>
      <c r="K162" s="14"/>
      <c r="L162" s="14"/>
      <c r="M162" s="14"/>
      <c r="N162" s="14"/>
      <c r="O162" s="14"/>
      <c r="P162" s="14"/>
      <c r="Q162" s="61"/>
      <c r="R162" s="61"/>
    </row>
    <row r="163" spans="5:18" ht="15.75">
      <c r="E163" s="14"/>
      <c r="F163" s="14"/>
      <c r="G163" s="14"/>
      <c r="H163" s="14"/>
      <c r="I163" s="14"/>
      <c r="J163" s="14"/>
      <c r="K163" s="14"/>
      <c r="L163" s="14"/>
      <c r="M163" s="14"/>
      <c r="N163" s="14"/>
      <c r="O163" s="14"/>
      <c r="P163" s="14"/>
      <c r="Q163" s="61"/>
      <c r="R163" s="61"/>
    </row>
    <row r="164" spans="5:18" ht="15.75">
      <c r="E164" s="14"/>
      <c r="F164" s="14"/>
      <c r="G164" s="14"/>
      <c r="H164" s="14"/>
      <c r="I164" s="14"/>
      <c r="J164" s="14"/>
      <c r="K164" s="14"/>
      <c r="L164" s="14"/>
      <c r="M164" s="14"/>
      <c r="N164" s="14"/>
      <c r="O164" s="14"/>
      <c r="P164" s="14"/>
      <c r="Q164" s="61"/>
      <c r="R164" s="61"/>
    </row>
    <row r="165" spans="5:18" ht="15.75">
      <c r="E165" s="14"/>
      <c r="F165" s="14"/>
      <c r="G165" s="14"/>
      <c r="H165" s="14"/>
      <c r="I165" s="14"/>
      <c r="J165" s="14"/>
      <c r="K165" s="14"/>
      <c r="L165" s="14"/>
      <c r="M165" s="14"/>
      <c r="N165" s="14"/>
      <c r="O165" s="14"/>
      <c r="P165" s="14"/>
      <c r="Q165" s="61"/>
      <c r="R165" s="61"/>
    </row>
    <row r="166" spans="5:18" ht="15.75">
      <c r="E166" s="14"/>
      <c r="F166" s="14"/>
      <c r="G166" s="14"/>
      <c r="H166" s="14"/>
      <c r="I166" s="14"/>
      <c r="J166" s="14"/>
      <c r="K166" s="14"/>
      <c r="L166" s="14"/>
      <c r="M166" s="14"/>
      <c r="N166" s="14"/>
      <c r="O166" s="14"/>
      <c r="P166" s="14"/>
      <c r="Q166" s="61"/>
      <c r="R166" s="61"/>
    </row>
    <row r="167" spans="5:18" ht="15.75">
      <c r="E167" s="14"/>
      <c r="F167" s="14"/>
      <c r="G167" s="14"/>
      <c r="H167" s="14"/>
      <c r="I167" s="14"/>
      <c r="J167" s="14"/>
      <c r="K167" s="14"/>
      <c r="L167" s="14"/>
      <c r="M167" s="14"/>
      <c r="N167" s="14"/>
      <c r="O167" s="14"/>
      <c r="P167" s="14"/>
      <c r="Q167" s="61"/>
      <c r="R167" s="61"/>
    </row>
    <row r="168" spans="5:18" ht="15.75">
      <c r="E168" s="14"/>
      <c r="F168" s="14"/>
      <c r="G168" s="14"/>
      <c r="H168" s="14"/>
      <c r="I168" s="14"/>
      <c r="J168" s="14"/>
      <c r="K168" s="14"/>
      <c r="L168" s="14"/>
      <c r="M168" s="14"/>
      <c r="N168" s="14"/>
      <c r="O168" s="14"/>
      <c r="P168" s="14"/>
      <c r="Q168" s="61"/>
      <c r="R168" s="61"/>
    </row>
    <row r="169" spans="5:18" ht="15.75">
      <c r="E169" s="14"/>
      <c r="F169" s="14"/>
      <c r="G169" s="14"/>
      <c r="H169" s="14"/>
      <c r="I169" s="14"/>
      <c r="J169" s="14"/>
      <c r="K169" s="14"/>
      <c r="L169" s="14"/>
      <c r="M169" s="14"/>
      <c r="N169" s="14"/>
      <c r="O169" s="14"/>
      <c r="P169" s="14"/>
      <c r="Q169" s="61"/>
      <c r="R169" s="61"/>
    </row>
    <row r="170" spans="5:18" ht="15.75">
      <c r="E170" s="14"/>
      <c r="F170" s="14"/>
      <c r="G170" s="14"/>
      <c r="H170" s="14"/>
      <c r="I170" s="14"/>
      <c r="J170" s="14"/>
      <c r="K170" s="14"/>
      <c r="L170" s="14"/>
      <c r="M170" s="14"/>
      <c r="N170" s="14"/>
      <c r="O170" s="14"/>
      <c r="P170" s="14"/>
      <c r="Q170" s="61"/>
      <c r="R170" s="61"/>
    </row>
    <row r="171" spans="5:18" ht="15.75">
      <c r="E171" s="14"/>
      <c r="F171" s="14"/>
      <c r="G171" s="14"/>
      <c r="H171" s="14"/>
      <c r="I171" s="14"/>
      <c r="J171" s="14"/>
      <c r="K171" s="14"/>
      <c r="L171" s="14"/>
      <c r="M171" s="14"/>
      <c r="N171" s="14"/>
      <c r="O171" s="14"/>
      <c r="P171" s="14"/>
      <c r="Q171" s="61"/>
      <c r="R171" s="61"/>
    </row>
    <row r="172" spans="5:18" ht="15.75">
      <c r="E172" s="14"/>
      <c r="F172" s="14"/>
      <c r="G172" s="14"/>
      <c r="H172" s="14"/>
      <c r="I172" s="14"/>
      <c r="J172" s="14"/>
      <c r="K172" s="14"/>
      <c r="L172" s="14"/>
      <c r="M172" s="14"/>
      <c r="N172" s="14"/>
      <c r="O172" s="14"/>
      <c r="P172" s="14"/>
      <c r="Q172" s="61"/>
      <c r="R172" s="61"/>
    </row>
    <row r="173" spans="5:18" ht="15.75">
      <c r="E173" s="14"/>
      <c r="F173" s="14"/>
      <c r="G173" s="14"/>
      <c r="H173" s="14"/>
      <c r="I173" s="14"/>
      <c r="J173" s="14"/>
      <c r="K173" s="14"/>
      <c r="L173" s="14"/>
      <c r="M173" s="14"/>
      <c r="N173" s="14"/>
      <c r="O173" s="14"/>
      <c r="P173" s="14"/>
      <c r="Q173" s="61"/>
      <c r="R173" s="61"/>
    </row>
    <row r="174" spans="5:18" ht="15.75">
      <c r="E174" s="14"/>
      <c r="F174" s="14"/>
      <c r="G174" s="14"/>
      <c r="H174" s="14"/>
      <c r="I174" s="14"/>
      <c r="J174" s="14"/>
      <c r="K174" s="14"/>
      <c r="L174" s="14"/>
      <c r="M174" s="14"/>
      <c r="N174" s="14"/>
      <c r="O174" s="14"/>
      <c r="P174" s="14"/>
      <c r="Q174" s="61"/>
      <c r="R174" s="61"/>
    </row>
    <row r="175" spans="5:18" ht="15.75">
      <c r="E175" s="14"/>
      <c r="F175" s="14"/>
      <c r="G175" s="14"/>
      <c r="H175" s="14"/>
      <c r="I175" s="14"/>
      <c r="J175" s="14"/>
      <c r="K175" s="14"/>
      <c r="L175" s="14"/>
      <c r="M175" s="14"/>
      <c r="N175" s="14"/>
      <c r="O175" s="14"/>
      <c r="P175" s="14"/>
      <c r="Q175" s="61"/>
      <c r="R175" s="61"/>
    </row>
    <row r="176" spans="5:18" ht="15.75">
      <c r="E176" s="14"/>
      <c r="F176" s="14"/>
      <c r="G176" s="14"/>
      <c r="H176" s="14"/>
      <c r="I176" s="14"/>
      <c r="J176" s="14"/>
      <c r="K176" s="14"/>
      <c r="L176" s="14"/>
      <c r="M176" s="14"/>
      <c r="N176" s="14"/>
      <c r="O176" s="14"/>
      <c r="P176" s="14"/>
      <c r="Q176" s="61"/>
      <c r="R176" s="61"/>
    </row>
    <row r="177" spans="5:18" ht="15.75">
      <c r="E177" s="14"/>
      <c r="F177" s="14"/>
      <c r="G177" s="14"/>
      <c r="H177" s="14"/>
      <c r="I177" s="14"/>
      <c r="J177" s="14"/>
      <c r="K177" s="14"/>
      <c r="L177" s="14"/>
      <c r="M177" s="14"/>
      <c r="N177" s="14"/>
      <c r="O177" s="14"/>
      <c r="P177" s="14"/>
      <c r="Q177" s="61"/>
      <c r="R177" s="61"/>
    </row>
    <row r="178" spans="5:18" ht="15.75">
      <c r="E178" s="14"/>
      <c r="F178" s="14"/>
      <c r="G178" s="14"/>
      <c r="H178" s="14"/>
      <c r="I178" s="14"/>
      <c r="J178" s="14"/>
      <c r="K178" s="14"/>
      <c r="L178" s="14"/>
      <c r="M178" s="14"/>
      <c r="N178" s="14"/>
      <c r="O178" s="14"/>
      <c r="P178" s="14"/>
      <c r="Q178" s="61"/>
      <c r="R178" s="61"/>
    </row>
    <row r="179" spans="5:18" ht="15.75">
      <c r="E179" s="14"/>
      <c r="F179" s="14"/>
      <c r="G179" s="14"/>
      <c r="H179" s="14"/>
      <c r="I179" s="14"/>
      <c r="J179" s="14"/>
      <c r="K179" s="14"/>
      <c r="L179" s="14"/>
      <c r="M179" s="14"/>
      <c r="N179" s="14"/>
      <c r="O179" s="14"/>
      <c r="P179" s="14"/>
      <c r="Q179" s="61"/>
      <c r="R179" s="61"/>
    </row>
    <row r="180" spans="5:18" ht="15.75">
      <c r="E180" s="14"/>
      <c r="F180" s="14"/>
      <c r="G180" s="14"/>
      <c r="H180" s="14"/>
      <c r="I180" s="14"/>
      <c r="J180" s="14"/>
      <c r="K180" s="14"/>
      <c r="L180" s="14"/>
      <c r="M180" s="14"/>
      <c r="N180" s="14"/>
      <c r="O180" s="14"/>
      <c r="P180" s="14"/>
      <c r="Q180" s="61"/>
      <c r="R180" s="61"/>
    </row>
    <row r="181" spans="5:18" ht="15.75">
      <c r="E181" s="14"/>
      <c r="F181" s="14"/>
      <c r="G181" s="14"/>
      <c r="H181" s="14"/>
      <c r="I181" s="14"/>
      <c r="J181" s="14"/>
      <c r="K181" s="14"/>
      <c r="L181" s="14"/>
      <c r="M181" s="14"/>
      <c r="N181" s="14"/>
      <c r="O181" s="14"/>
      <c r="P181" s="14"/>
      <c r="Q181" s="61"/>
      <c r="R181" s="61"/>
    </row>
    <row r="182" spans="5:18" ht="15.75">
      <c r="E182" s="14"/>
      <c r="F182" s="14"/>
      <c r="G182" s="14"/>
      <c r="H182" s="14"/>
      <c r="I182" s="14"/>
      <c r="J182" s="14"/>
      <c r="K182" s="14"/>
      <c r="L182" s="14"/>
      <c r="M182" s="14"/>
      <c r="N182" s="14"/>
      <c r="O182" s="14"/>
      <c r="P182" s="14"/>
      <c r="Q182" s="61"/>
      <c r="R182" s="61"/>
    </row>
    <row r="183" spans="5:18" ht="15.75">
      <c r="E183" s="14"/>
      <c r="F183" s="14"/>
      <c r="G183" s="14"/>
      <c r="H183" s="14"/>
      <c r="I183" s="14"/>
      <c r="J183" s="14"/>
      <c r="K183" s="14"/>
      <c r="L183" s="14"/>
      <c r="M183" s="14"/>
      <c r="N183" s="14"/>
      <c r="O183" s="14"/>
      <c r="P183" s="14"/>
      <c r="Q183" s="61"/>
      <c r="R183" s="61"/>
    </row>
    <row r="184" spans="5:18" ht="15.75">
      <c r="E184" s="14"/>
      <c r="F184" s="14"/>
      <c r="G184" s="14"/>
      <c r="H184" s="14"/>
      <c r="I184" s="14"/>
      <c r="J184" s="14"/>
      <c r="K184" s="14"/>
      <c r="L184" s="14"/>
      <c r="M184" s="14"/>
      <c r="N184" s="14"/>
      <c r="O184" s="14"/>
      <c r="P184" s="14"/>
      <c r="Q184" s="61"/>
      <c r="R184" s="61"/>
    </row>
    <row r="185" spans="5:18" ht="15.75">
      <c r="E185" s="14"/>
      <c r="F185" s="14"/>
      <c r="G185" s="14"/>
      <c r="H185" s="14"/>
      <c r="I185" s="14"/>
      <c r="J185" s="14"/>
      <c r="K185" s="14"/>
      <c r="L185" s="14"/>
      <c r="M185" s="14"/>
      <c r="N185" s="14"/>
      <c r="O185" s="14"/>
      <c r="P185" s="14"/>
      <c r="Q185" s="61"/>
      <c r="R185" s="61"/>
    </row>
    <row r="186" spans="5:18" ht="15.75">
      <c r="E186" s="14"/>
      <c r="F186" s="14"/>
      <c r="G186" s="14"/>
      <c r="H186" s="14"/>
      <c r="I186" s="14"/>
      <c r="J186" s="14"/>
      <c r="K186" s="14"/>
      <c r="L186" s="14"/>
      <c r="M186" s="14"/>
      <c r="N186" s="14"/>
      <c r="O186" s="14"/>
      <c r="P186" s="14"/>
      <c r="Q186" s="61"/>
      <c r="R186" s="61"/>
    </row>
    <row r="187" spans="5:18" ht="15.75">
      <c r="E187" s="14"/>
      <c r="F187" s="14"/>
      <c r="G187" s="14"/>
      <c r="H187" s="14"/>
      <c r="I187" s="14"/>
      <c r="J187" s="14"/>
      <c r="K187" s="14"/>
      <c r="L187" s="14"/>
      <c r="M187" s="14"/>
      <c r="N187" s="14"/>
      <c r="O187" s="14"/>
      <c r="P187" s="14"/>
      <c r="Q187" s="61"/>
      <c r="R187" s="61"/>
    </row>
    <row r="188" spans="5:18" ht="15.75">
      <c r="E188" s="14"/>
      <c r="F188" s="14"/>
      <c r="G188" s="14"/>
      <c r="H188" s="14"/>
      <c r="I188" s="14"/>
      <c r="J188" s="14"/>
      <c r="K188" s="14"/>
      <c r="L188" s="14"/>
      <c r="M188" s="14"/>
      <c r="N188" s="14"/>
      <c r="O188" s="14"/>
      <c r="P188" s="14"/>
      <c r="Q188" s="61"/>
      <c r="R188" s="61"/>
    </row>
    <row r="189" spans="5:18" ht="15.75">
      <c r="E189" s="14"/>
      <c r="F189" s="14"/>
      <c r="G189" s="14"/>
      <c r="H189" s="14"/>
      <c r="I189" s="14"/>
      <c r="J189" s="14"/>
      <c r="K189" s="14"/>
      <c r="L189" s="14"/>
      <c r="M189" s="14"/>
      <c r="N189" s="14"/>
      <c r="O189" s="14"/>
      <c r="P189" s="14"/>
      <c r="Q189" s="61"/>
      <c r="R189" s="61"/>
    </row>
    <row r="190" spans="5:18" ht="15.75">
      <c r="E190" s="14"/>
      <c r="F190" s="14"/>
      <c r="G190" s="14"/>
      <c r="H190" s="14"/>
      <c r="I190" s="14"/>
      <c r="J190" s="14"/>
      <c r="K190" s="14"/>
      <c r="L190" s="14"/>
      <c r="M190" s="14"/>
      <c r="N190" s="14"/>
      <c r="O190" s="14"/>
      <c r="P190" s="14"/>
      <c r="Q190" s="61"/>
      <c r="R190" s="61"/>
    </row>
    <row r="191" spans="5:18" ht="15.75">
      <c r="E191" s="14"/>
      <c r="F191" s="14"/>
      <c r="G191" s="14"/>
      <c r="H191" s="14"/>
      <c r="I191" s="14"/>
      <c r="J191" s="14"/>
      <c r="K191" s="14"/>
      <c r="L191" s="14"/>
      <c r="M191" s="14"/>
      <c r="N191" s="14"/>
      <c r="O191" s="14"/>
      <c r="P191" s="14"/>
      <c r="Q191" s="61"/>
      <c r="R191" s="61"/>
    </row>
    <row r="192" spans="5:18" ht="15.75">
      <c r="E192" s="14"/>
      <c r="F192" s="14"/>
      <c r="G192" s="14"/>
      <c r="H192" s="14"/>
      <c r="I192" s="14"/>
      <c r="J192" s="14"/>
      <c r="K192" s="14"/>
      <c r="L192" s="14"/>
      <c r="M192" s="14"/>
      <c r="N192" s="14"/>
      <c r="O192" s="14"/>
      <c r="P192" s="14"/>
      <c r="Q192" s="61"/>
      <c r="R192" s="61"/>
    </row>
    <row r="193" spans="5:18" ht="15.75">
      <c r="E193" s="14"/>
      <c r="F193" s="14"/>
      <c r="G193" s="14"/>
      <c r="H193" s="14"/>
      <c r="I193" s="14"/>
      <c r="J193" s="14"/>
      <c r="K193" s="14"/>
      <c r="L193" s="14"/>
      <c r="M193" s="14"/>
      <c r="N193" s="14"/>
      <c r="O193" s="14"/>
      <c r="P193" s="14"/>
      <c r="Q193" s="61"/>
      <c r="R193" s="61"/>
    </row>
    <row r="194" spans="5:18" ht="15.75">
      <c r="E194" s="14"/>
      <c r="F194" s="14"/>
      <c r="G194" s="14"/>
      <c r="H194" s="14"/>
      <c r="I194" s="14"/>
      <c r="J194" s="14"/>
      <c r="K194" s="14"/>
      <c r="L194" s="14"/>
      <c r="M194" s="14"/>
      <c r="N194" s="14"/>
      <c r="O194" s="14"/>
      <c r="P194" s="14"/>
      <c r="Q194" s="61"/>
      <c r="R194" s="61"/>
    </row>
    <row r="195" spans="5:18" ht="15.75">
      <c r="E195" s="14"/>
      <c r="F195" s="14"/>
      <c r="G195" s="14"/>
      <c r="H195" s="14"/>
      <c r="I195" s="14"/>
      <c r="J195" s="14"/>
      <c r="K195" s="14"/>
      <c r="L195" s="14"/>
      <c r="M195" s="14"/>
      <c r="N195" s="14"/>
      <c r="O195" s="14"/>
      <c r="P195" s="14"/>
      <c r="Q195" s="61"/>
      <c r="R195" s="61"/>
    </row>
    <row r="196" spans="5:18" ht="15.75">
      <c r="E196" s="14"/>
      <c r="F196" s="14"/>
      <c r="G196" s="14"/>
      <c r="H196" s="14"/>
      <c r="I196" s="14"/>
      <c r="J196" s="14"/>
      <c r="K196" s="14"/>
      <c r="L196" s="14"/>
      <c r="M196" s="14"/>
      <c r="N196" s="14"/>
      <c r="O196" s="14"/>
      <c r="P196" s="14"/>
      <c r="Q196" s="61"/>
      <c r="R196" s="61"/>
    </row>
    <row r="197" spans="5:18" ht="15.75">
      <c r="E197" s="14"/>
      <c r="F197" s="14"/>
      <c r="G197" s="14"/>
      <c r="H197" s="14"/>
      <c r="I197" s="14"/>
      <c r="J197" s="14"/>
      <c r="K197" s="14"/>
      <c r="L197" s="14"/>
      <c r="M197" s="14"/>
      <c r="N197" s="14"/>
      <c r="O197" s="14"/>
      <c r="P197" s="14"/>
      <c r="Q197" s="61"/>
      <c r="R197" s="61"/>
    </row>
    <row r="198" spans="5:18" ht="15.75">
      <c r="E198" s="14"/>
      <c r="F198" s="14"/>
      <c r="G198" s="14"/>
      <c r="H198" s="14"/>
      <c r="I198" s="14"/>
      <c r="J198" s="14"/>
      <c r="K198" s="14"/>
      <c r="L198" s="14"/>
      <c r="M198" s="14"/>
      <c r="N198" s="14"/>
      <c r="O198" s="14"/>
      <c r="P198" s="14"/>
      <c r="Q198" s="61"/>
      <c r="R198" s="61"/>
    </row>
    <row r="199" spans="5:18" ht="15.75">
      <c r="E199" s="14"/>
      <c r="F199" s="14"/>
      <c r="G199" s="14"/>
      <c r="H199" s="14"/>
      <c r="I199" s="14"/>
      <c r="J199" s="14"/>
      <c r="K199" s="14"/>
      <c r="L199" s="14"/>
      <c r="M199" s="14"/>
      <c r="N199" s="14"/>
      <c r="O199" s="14"/>
      <c r="P199" s="14"/>
      <c r="Q199" s="61"/>
      <c r="R199" s="61"/>
    </row>
    <row r="200" spans="5:18" ht="15.75">
      <c r="E200" s="14"/>
      <c r="F200" s="14"/>
      <c r="G200" s="14"/>
      <c r="H200" s="14"/>
      <c r="I200" s="14"/>
      <c r="J200" s="14"/>
      <c r="K200" s="14"/>
      <c r="L200" s="14"/>
      <c r="M200" s="14"/>
      <c r="N200" s="14"/>
      <c r="O200" s="14"/>
      <c r="P200" s="14"/>
      <c r="Q200" s="61"/>
      <c r="R200" s="61"/>
    </row>
    <row r="201" spans="5:18" ht="15.75">
      <c r="E201" s="14"/>
      <c r="F201" s="14"/>
      <c r="G201" s="14"/>
      <c r="H201" s="14"/>
      <c r="I201" s="14"/>
      <c r="J201" s="14"/>
      <c r="K201" s="14"/>
      <c r="L201" s="14"/>
      <c r="M201" s="14"/>
      <c r="N201" s="14"/>
      <c r="O201" s="14"/>
      <c r="P201" s="14"/>
      <c r="Q201" s="61"/>
      <c r="R201" s="61"/>
    </row>
    <row r="202" spans="5:18" ht="15.75">
      <c r="E202" s="14"/>
      <c r="F202" s="14"/>
      <c r="G202" s="14"/>
      <c r="H202" s="14"/>
      <c r="I202" s="14"/>
      <c r="J202" s="14"/>
      <c r="K202" s="14"/>
      <c r="L202" s="14"/>
      <c r="M202" s="14"/>
      <c r="N202" s="14"/>
      <c r="O202" s="14"/>
      <c r="P202" s="14"/>
      <c r="Q202" s="61"/>
      <c r="R202" s="61"/>
    </row>
    <row r="203" spans="5:18" ht="15.75">
      <c r="E203" s="14"/>
      <c r="F203" s="14"/>
      <c r="G203" s="14"/>
      <c r="H203" s="14"/>
      <c r="I203" s="14"/>
      <c r="J203" s="14"/>
      <c r="K203" s="14"/>
      <c r="L203" s="14"/>
      <c r="M203" s="14"/>
      <c r="N203" s="14"/>
      <c r="O203" s="14"/>
      <c r="P203" s="14"/>
      <c r="Q203" s="61"/>
      <c r="R203" s="61"/>
    </row>
    <row r="204" spans="5:18" ht="15.75">
      <c r="E204" s="14"/>
      <c r="F204" s="14"/>
      <c r="G204" s="14"/>
      <c r="H204" s="14"/>
      <c r="I204" s="14"/>
      <c r="J204" s="14"/>
      <c r="K204" s="14"/>
      <c r="L204" s="14"/>
      <c r="M204" s="14"/>
      <c r="N204" s="14"/>
      <c r="O204" s="14"/>
      <c r="P204" s="14"/>
      <c r="Q204" s="61"/>
      <c r="R204" s="61"/>
    </row>
    <row r="205" spans="5:18" ht="15.75">
      <c r="E205" s="14"/>
      <c r="F205" s="14"/>
      <c r="G205" s="14"/>
      <c r="H205" s="14"/>
      <c r="I205" s="14"/>
      <c r="J205" s="14"/>
      <c r="K205" s="14"/>
      <c r="L205" s="14"/>
      <c r="M205" s="14"/>
      <c r="N205" s="14"/>
      <c r="O205" s="14"/>
      <c r="P205" s="14"/>
      <c r="Q205" s="61"/>
      <c r="R205" s="61"/>
    </row>
    <row r="206" spans="5:18" ht="15.75">
      <c r="E206" s="14"/>
      <c r="F206" s="14"/>
      <c r="G206" s="14"/>
      <c r="H206" s="14"/>
      <c r="I206" s="14"/>
      <c r="J206" s="14"/>
      <c r="K206" s="14"/>
      <c r="L206" s="14"/>
      <c r="M206" s="14"/>
      <c r="N206" s="14"/>
      <c r="O206" s="14"/>
      <c r="P206" s="14"/>
      <c r="Q206" s="61"/>
      <c r="R206" s="61"/>
    </row>
    <row r="207" spans="5:18" ht="15.75">
      <c r="E207" s="14"/>
      <c r="F207" s="14"/>
      <c r="G207" s="14"/>
      <c r="H207" s="14"/>
      <c r="I207" s="14"/>
      <c r="J207" s="14"/>
      <c r="K207" s="14"/>
      <c r="L207" s="14"/>
      <c r="M207" s="14"/>
      <c r="N207" s="14"/>
      <c r="O207" s="14"/>
      <c r="P207" s="14"/>
      <c r="Q207" s="61"/>
      <c r="R207" s="61"/>
    </row>
    <row r="208" spans="5:18" ht="15.75">
      <c r="E208" s="14"/>
      <c r="F208" s="14"/>
      <c r="G208" s="14"/>
      <c r="H208" s="14"/>
      <c r="I208" s="14"/>
      <c r="J208" s="14"/>
      <c r="K208" s="14"/>
      <c r="L208" s="14"/>
      <c r="M208" s="14"/>
      <c r="N208" s="14"/>
      <c r="O208" s="14"/>
      <c r="P208" s="14"/>
      <c r="Q208" s="61"/>
      <c r="R208" s="61"/>
    </row>
    <row r="209" spans="5:18" ht="15.75">
      <c r="E209" s="14"/>
      <c r="F209" s="14"/>
      <c r="G209" s="14"/>
      <c r="H209" s="14"/>
      <c r="I209" s="14"/>
      <c r="J209" s="14"/>
      <c r="K209" s="14"/>
      <c r="L209" s="14"/>
      <c r="M209" s="14"/>
      <c r="N209" s="14"/>
      <c r="O209" s="14"/>
      <c r="P209" s="14"/>
      <c r="Q209" s="61"/>
      <c r="R209" s="61"/>
    </row>
    <row r="210" spans="5:18" ht="15.75">
      <c r="E210" s="14"/>
      <c r="F210" s="14"/>
      <c r="G210" s="14"/>
      <c r="H210" s="14"/>
      <c r="I210" s="14"/>
      <c r="J210" s="14"/>
      <c r="K210" s="14"/>
      <c r="L210" s="14"/>
      <c r="M210" s="14"/>
      <c r="N210" s="14"/>
      <c r="O210" s="14"/>
      <c r="P210" s="14"/>
      <c r="Q210" s="61"/>
      <c r="R210" s="61"/>
    </row>
    <row r="211" spans="5:18" ht="15.75">
      <c r="E211" s="14"/>
      <c r="F211" s="14"/>
      <c r="G211" s="14"/>
      <c r="H211" s="14"/>
      <c r="I211" s="14"/>
      <c r="J211" s="14"/>
      <c r="K211" s="14"/>
      <c r="L211" s="14"/>
      <c r="M211" s="14"/>
      <c r="N211" s="14"/>
      <c r="O211" s="14"/>
      <c r="P211" s="14"/>
      <c r="Q211" s="61"/>
      <c r="R211" s="61"/>
    </row>
    <row r="212" spans="5:18" ht="15.75">
      <c r="E212" s="14"/>
      <c r="F212" s="14"/>
      <c r="G212" s="14"/>
      <c r="H212" s="14"/>
      <c r="I212" s="14"/>
      <c r="J212" s="14"/>
      <c r="K212" s="14"/>
      <c r="L212" s="14"/>
      <c r="M212" s="14"/>
      <c r="N212" s="14"/>
      <c r="O212" s="14"/>
      <c r="P212" s="14"/>
      <c r="Q212" s="61"/>
      <c r="R212" s="61"/>
    </row>
    <row r="213" spans="5:18" ht="15.75">
      <c r="E213" s="14"/>
      <c r="F213" s="14"/>
      <c r="G213" s="14"/>
      <c r="H213" s="14"/>
      <c r="I213" s="14"/>
      <c r="J213" s="14"/>
      <c r="K213" s="14"/>
      <c r="L213" s="14"/>
      <c r="M213" s="14"/>
      <c r="N213" s="14"/>
      <c r="O213" s="14"/>
      <c r="P213" s="14"/>
      <c r="Q213" s="61"/>
      <c r="R213" s="61"/>
    </row>
    <row r="214" spans="5:18" ht="15.75">
      <c r="E214" s="14"/>
      <c r="F214" s="14"/>
      <c r="G214" s="14"/>
      <c r="H214" s="14"/>
      <c r="I214" s="14"/>
      <c r="J214" s="14"/>
      <c r="K214" s="14"/>
      <c r="L214" s="14"/>
      <c r="M214" s="14"/>
      <c r="N214" s="14"/>
      <c r="O214" s="14"/>
      <c r="P214" s="14"/>
      <c r="Q214" s="61"/>
      <c r="R214" s="61"/>
    </row>
    <row r="215" spans="5:18" ht="15.75">
      <c r="E215" s="14"/>
      <c r="F215" s="14"/>
      <c r="G215" s="14"/>
      <c r="H215" s="14"/>
      <c r="I215" s="14"/>
      <c r="J215" s="14"/>
      <c r="K215" s="14"/>
      <c r="L215" s="14"/>
      <c r="M215" s="14"/>
      <c r="N215" s="14"/>
      <c r="O215" s="14"/>
      <c r="P215" s="14"/>
      <c r="Q215" s="61"/>
      <c r="R215" s="61"/>
    </row>
    <row r="216" spans="5:18" ht="15.75">
      <c r="E216" s="14"/>
      <c r="F216" s="14"/>
      <c r="G216" s="14"/>
      <c r="H216" s="14"/>
      <c r="I216" s="14"/>
      <c r="J216" s="14"/>
      <c r="K216" s="14"/>
      <c r="L216" s="14"/>
      <c r="M216" s="14"/>
      <c r="N216" s="14"/>
      <c r="O216" s="14"/>
      <c r="P216" s="14"/>
      <c r="Q216" s="61"/>
      <c r="R216" s="61"/>
    </row>
    <row r="217" spans="5:18" ht="15.75">
      <c r="E217" s="14"/>
      <c r="F217" s="14"/>
      <c r="G217" s="14"/>
      <c r="H217" s="14"/>
      <c r="I217" s="14"/>
      <c r="J217" s="14"/>
      <c r="K217" s="14"/>
      <c r="L217" s="14"/>
      <c r="M217" s="14"/>
      <c r="N217" s="14"/>
      <c r="O217" s="14"/>
      <c r="P217" s="14"/>
      <c r="Q217" s="61"/>
      <c r="R217" s="61"/>
    </row>
    <row r="218" spans="5:18" ht="15.75">
      <c r="E218" s="14"/>
      <c r="F218" s="14"/>
      <c r="G218" s="14"/>
      <c r="H218" s="14"/>
      <c r="I218" s="14"/>
      <c r="J218" s="14"/>
      <c r="K218" s="14"/>
      <c r="L218" s="14"/>
      <c r="M218" s="14"/>
      <c r="N218" s="14"/>
      <c r="O218" s="14"/>
      <c r="P218" s="14"/>
      <c r="Q218" s="61"/>
      <c r="R218" s="61"/>
    </row>
    <row r="219" spans="5:18" ht="15.75">
      <c r="E219" s="14"/>
      <c r="F219" s="14"/>
      <c r="G219" s="14"/>
      <c r="H219" s="14"/>
      <c r="I219" s="14"/>
      <c r="J219" s="14"/>
      <c r="K219" s="14"/>
      <c r="L219" s="14"/>
      <c r="M219" s="14"/>
      <c r="N219" s="14"/>
      <c r="O219" s="14"/>
      <c r="P219" s="14"/>
      <c r="Q219" s="61"/>
      <c r="R219" s="61"/>
    </row>
    <row r="220" spans="5:18" ht="15.75">
      <c r="E220" s="14"/>
      <c r="F220" s="14"/>
      <c r="G220" s="14"/>
      <c r="H220" s="14"/>
      <c r="I220" s="14"/>
      <c r="J220" s="14"/>
      <c r="K220" s="14"/>
      <c r="L220" s="14"/>
      <c r="M220" s="14"/>
      <c r="N220" s="14"/>
      <c r="O220" s="14"/>
      <c r="P220" s="14"/>
      <c r="Q220" s="61"/>
      <c r="R220" s="61"/>
    </row>
    <row r="221" spans="5:18" ht="15.75">
      <c r="E221" s="14"/>
      <c r="F221" s="14"/>
      <c r="G221" s="14"/>
      <c r="H221" s="14"/>
      <c r="I221" s="14"/>
      <c r="J221" s="14"/>
      <c r="K221" s="14"/>
      <c r="L221" s="14"/>
      <c r="M221" s="14"/>
      <c r="N221" s="14"/>
      <c r="O221" s="14"/>
      <c r="P221" s="14"/>
      <c r="Q221" s="61"/>
      <c r="R221" s="61"/>
    </row>
    <row r="222" spans="5:18" ht="15.75">
      <c r="E222" s="14"/>
      <c r="F222" s="14"/>
      <c r="G222" s="14"/>
      <c r="H222" s="14"/>
      <c r="I222" s="14"/>
      <c r="J222" s="14"/>
      <c r="K222" s="14"/>
      <c r="L222" s="14"/>
      <c r="M222" s="14"/>
      <c r="N222" s="14"/>
      <c r="O222" s="14"/>
      <c r="P222" s="14"/>
      <c r="Q222" s="61"/>
      <c r="R222" s="61"/>
    </row>
    <row r="223" spans="5:18" ht="15.75">
      <c r="E223" s="14"/>
      <c r="F223" s="14"/>
      <c r="G223" s="14"/>
      <c r="H223" s="14"/>
      <c r="I223" s="14"/>
      <c r="J223" s="14"/>
      <c r="K223" s="14"/>
      <c r="L223" s="14"/>
      <c r="M223" s="14"/>
      <c r="N223" s="14"/>
      <c r="O223" s="14"/>
      <c r="P223" s="14"/>
      <c r="Q223" s="61"/>
      <c r="R223" s="61"/>
    </row>
    <row r="224" spans="5:18" ht="15.75">
      <c r="E224" s="14"/>
      <c r="F224" s="14"/>
      <c r="G224" s="14"/>
      <c r="H224" s="14"/>
      <c r="I224" s="14"/>
      <c r="J224" s="14"/>
      <c r="K224" s="14"/>
      <c r="L224" s="14"/>
      <c r="M224" s="14"/>
      <c r="N224" s="14"/>
      <c r="O224" s="14"/>
      <c r="P224" s="14"/>
      <c r="Q224" s="61"/>
      <c r="R224" s="61"/>
    </row>
    <row r="225" spans="5:18" ht="15.75">
      <c r="E225" s="14"/>
      <c r="F225" s="14"/>
      <c r="G225" s="14"/>
      <c r="H225" s="14"/>
      <c r="I225" s="14"/>
      <c r="J225" s="14"/>
      <c r="K225" s="14"/>
      <c r="L225" s="14"/>
      <c r="M225" s="14"/>
      <c r="N225" s="14"/>
      <c r="O225" s="14"/>
      <c r="P225" s="14"/>
      <c r="Q225" s="61"/>
      <c r="R225" s="61"/>
    </row>
    <row r="226" spans="5:18" ht="15.75">
      <c r="E226" s="14"/>
      <c r="F226" s="14"/>
      <c r="G226" s="14"/>
      <c r="H226" s="14"/>
      <c r="I226" s="14"/>
      <c r="J226" s="14"/>
      <c r="K226" s="14"/>
      <c r="L226" s="14"/>
      <c r="M226" s="14"/>
      <c r="N226" s="14"/>
      <c r="O226" s="14"/>
      <c r="P226" s="14"/>
      <c r="Q226" s="61"/>
      <c r="R226" s="61"/>
    </row>
    <row r="227" spans="5:18" ht="15.75">
      <c r="E227" s="14"/>
      <c r="F227" s="14"/>
      <c r="G227" s="14"/>
      <c r="H227" s="14"/>
      <c r="I227" s="14"/>
      <c r="J227" s="14"/>
      <c r="K227" s="14"/>
      <c r="L227" s="14"/>
      <c r="M227" s="14"/>
      <c r="N227" s="14"/>
      <c r="O227" s="14"/>
      <c r="P227" s="14"/>
      <c r="Q227" s="61"/>
      <c r="R227" s="61"/>
    </row>
    <row r="228" spans="5:18" ht="15.75">
      <c r="E228" s="14"/>
      <c r="F228" s="14"/>
      <c r="G228" s="14"/>
      <c r="H228" s="14"/>
      <c r="I228" s="14"/>
      <c r="J228" s="14"/>
      <c r="K228" s="14"/>
      <c r="L228" s="14"/>
      <c r="M228" s="14"/>
      <c r="N228" s="14"/>
      <c r="O228" s="14"/>
      <c r="P228" s="14"/>
      <c r="Q228" s="61"/>
      <c r="R228" s="61"/>
    </row>
    <row r="229" spans="5:18" ht="15.75">
      <c r="E229" s="14"/>
      <c r="F229" s="14"/>
      <c r="G229" s="14"/>
      <c r="H229" s="14"/>
      <c r="I229" s="14"/>
      <c r="J229" s="14"/>
      <c r="K229" s="14"/>
      <c r="L229" s="14"/>
      <c r="M229" s="14"/>
      <c r="N229" s="14"/>
      <c r="O229" s="14"/>
      <c r="P229" s="14"/>
      <c r="Q229" s="61"/>
      <c r="R229" s="61"/>
    </row>
    <row r="230" spans="5:18" ht="15.75">
      <c r="E230" s="14"/>
      <c r="F230" s="14"/>
      <c r="G230" s="14"/>
      <c r="H230" s="14"/>
      <c r="I230" s="14"/>
      <c r="J230" s="14"/>
      <c r="K230" s="14"/>
      <c r="L230" s="14"/>
      <c r="M230" s="14"/>
      <c r="N230" s="14"/>
      <c r="O230" s="14"/>
      <c r="P230" s="14"/>
      <c r="Q230" s="61"/>
      <c r="R230" s="61"/>
    </row>
    <row r="231" spans="5:18" ht="15.75">
      <c r="E231" s="14"/>
      <c r="F231" s="14"/>
      <c r="G231" s="14"/>
      <c r="H231" s="14"/>
      <c r="I231" s="14"/>
      <c r="J231" s="14"/>
      <c r="K231" s="14"/>
      <c r="L231" s="14"/>
      <c r="M231" s="14"/>
      <c r="N231" s="14"/>
      <c r="O231" s="14"/>
      <c r="P231" s="14"/>
      <c r="Q231" s="61"/>
      <c r="R231" s="61"/>
    </row>
    <row r="232" spans="5:18" ht="15.75">
      <c r="E232" s="14"/>
      <c r="F232" s="14"/>
      <c r="G232" s="14"/>
      <c r="H232" s="14"/>
      <c r="I232" s="14"/>
      <c r="J232" s="14"/>
      <c r="K232" s="14"/>
      <c r="L232" s="14"/>
      <c r="M232" s="14"/>
      <c r="N232" s="14"/>
      <c r="O232" s="14"/>
      <c r="P232" s="14"/>
      <c r="Q232" s="61"/>
      <c r="R232" s="61"/>
    </row>
    <row r="233" spans="5:18" ht="15.75">
      <c r="E233" s="14"/>
      <c r="F233" s="14"/>
      <c r="G233" s="14"/>
      <c r="H233" s="14"/>
      <c r="I233" s="14"/>
      <c r="J233" s="14"/>
      <c r="K233" s="14"/>
      <c r="L233" s="14"/>
      <c r="M233" s="14"/>
      <c r="N233" s="14"/>
      <c r="O233" s="14"/>
      <c r="P233" s="14"/>
      <c r="Q233" s="61"/>
      <c r="R233" s="61"/>
    </row>
    <row r="234" spans="5:18" ht="15.75">
      <c r="E234" s="14"/>
      <c r="F234" s="14"/>
      <c r="G234" s="14"/>
      <c r="H234" s="14"/>
      <c r="I234" s="14"/>
      <c r="J234" s="14"/>
      <c r="K234" s="14"/>
      <c r="L234" s="14"/>
      <c r="M234" s="14"/>
      <c r="N234" s="14"/>
      <c r="O234" s="14"/>
      <c r="P234" s="14"/>
      <c r="Q234" s="61"/>
      <c r="R234" s="61"/>
    </row>
    <row r="235" spans="5:18" ht="15.75">
      <c r="E235" s="14"/>
      <c r="F235" s="14"/>
      <c r="G235" s="14"/>
      <c r="H235" s="14"/>
      <c r="I235" s="14"/>
      <c r="J235" s="14"/>
      <c r="K235" s="14"/>
      <c r="L235" s="14"/>
      <c r="M235" s="14"/>
      <c r="N235" s="14"/>
      <c r="O235" s="14"/>
      <c r="P235" s="14"/>
      <c r="Q235" s="61"/>
      <c r="R235" s="61"/>
    </row>
    <row r="236" spans="5:18" ht="15.75">
      <c r="E236" s="14"/>
      <c r="F236" s="14"/>
      <c r="G236" s="14"/>
      <c r="H236" s="14"/>
      <c r="I236" s="14"/>
      <c r="J236" s="14"/>
      <c r="K236" s="14"/>
      <c r="L236" s="14"/>
      <c r="M236" s="14"/>
      <c r="N236" s="14"/>
      <c r="O236" s="14"/>
      <c r="P236" s="14"/>
      <c r="Q236" s="61"/>
      <c r="R236" s="61"/>
    </row>
    <row r="237" spans="5:18" ht="15.75">
      <c r="E237" s="14"/>
      <c r="F237" s="14"/>
      <c r="G237" s="14"/>
      <c r="H237" s="14"/>
      <c r="I237" s="14"/>
      <c r="J237" s="14"/>
      <c r="K237" s="14"/>
      <c r="L237" s="14"/>
      <c r="M237" s="14"/>
      <c r="N237" s="14"/>
      <c r="O237" s="14"/>
      <c r="P237" s="14"/>
      <c r="Q237" s="61"/>
      <c r="R237" s="61"/>
    </row>
    <row r="238" spans="5:18" ht="15.75">
      <c r="E238" s="14"/>
      <c r="F238" s="14"/>
      <c r="G238" s="14"/>
      <c r="H238" s="14"/>
      <c r="I238" s="14"/>
      <c r="J238" s="14"/>
      <c r="K238" s="14"/>
      <c r="L238" s="14"/>
      <c r="M238" s="14"/>
      <c r="N238" s="14"/>
      <c r="O238" s="14"/>
      <c r="P238" s="14"/>
      <c r="Q238" s="61"/>
      <c r="R238" s="61"/>
    </row>
    <row r="239" spans="5:18" ht="15.75">
      <c r="E239" s="14"/>
      <c r="F239" s="14"/>
      <c r="G239" s="14"/>
      <c r="H239" s="14"/>
      <c r="I239" s="14"/>
      <c r="J239" s="14"/>
      <c r="K239" s="14"/>
      <c r="L239" s="14"/>
      <c r="M239" s="14"/>
      <c r="N239" s="14"/>
      <c r="O239" s="14"/>
      <c r="P239" s="14"/>
      <c r="Q239" s="61"/>
      <c r="R239" s="61"/>
    </row>
    <row r="240" spans="5:18" ht="15.75">
      <c r="E240" s="14"/>
      <c r="F240" s="14"/>
      <c r="G240" s="14"/>
      <c r="H240" s="14"/>
      <c r="I240" s="14"/>
      <c r="J240" s="14"/>
      <c r="K240" s="14"/>
      <c r="L240" s="14"/>
      <c r="M240" s="14"/>
      <c r="N240" s="14"/>
      <c r="O240" s="14"/>
      <c r="P240" s="14"/>
      <c r="Q240" s="61"/>
      <c r="R240" s="61"/>
    </row>
    <row r="241" spans="5:18" ht="15.75">
      <c r="E241" s="14"/>
      <c r="F241" s="14"/>
      <c r="G241" s="14"/>
      <c r="H241" s="14"/>
      <c r="I241" s="14"/>
      <c r="J241" s="14"/>
      <c r="K241" s="14"/>
      <c r="L241" s="14"/>
      <c r="M241" s="14"/>
      <c r="N241" s="14"/>
      <c r="O241" s="14"/>
      <c r="P241" s="14"/>
      <c r="Q241" s="61"/>
      <c r="R241" s="61"/>
    </row>
    <row r="242" spans="5:18" ht="15.75">
      <c r="E242" s="14"/>
      <c r="F242" s="14"/>
      <c r="G242" s="14"/>
      <c r="H242" s="14"/>
      <c r="I242" s="14"/>
      <c r="J242" s="14"/>
      <c r="K242" s="14"/>
      <c r="L242" s="14"/>
      <c r="M242" s="14"/>
      <c r="N242" s="14"/>
      <c r="O242" s="14"/>
      <c r="P242" s="14"/>
      <c r="Q242" s="61"/>
      <c r="R242" s="61"/>
    </row>
    <row r="243" spans="5:18" ht="15.75">
      <c r="E243" s="14"/>
      <c r="F243" s="14"/>
      <c r="G243" s="14"/>
      <c r="H243" s="14"/>
      <c r="I243" s="14"/>
      <c r="J243" s="14"/>
      <c r="K243" s="14"/>
      <c r="L243" s="14"/>
      <c r="M243" s="14"/>
      <c r="N243" s="14"/>
      <c r="O243" s="14"/>
      <c r="P243" s="14"/>
      <c r="Q243" s="61"/>
      <c r="R243" s="61"/>
    </row>
    <row r="244" spans="5:18" ht="15.75">
      <c r="E244" s="14"/>
      <c r="F244" s="14"/>
      <c r="G244" s="14"/>
      <c r="H244" s="14"/>
      <c r="I244" s="14"/>
      <c r="J244" s="14"/>
      <c r="K244" s="14"/>
      <c r="L244" s="14"/>
      <c r="M244" s="14"/>
      <c r="N244" s="14"/>
      <c r="O244" s="14"/>
      <c r="P244" s="14"/>
      <c r="Q244" s="61"/>
      <c r="R244" s="61"/>
    </row>
    <row r="245" spans="5:18" ht="15.75">
      <c r="E245" s="14"/>
      <c r="F245" s="14"/>
      <c r="G245" s="14"/>
      <c r="H245" s="14"/>
      <c r="I245" s="14"/>
      <c r="J245" s="14"/>
      <c r="K245" s="14"/>
      <c r="L245" s="14"/>
      <c r="M245" s="14"/>
      <c r="N245" s="14"/>
      <c r="O245" s="14"/>
      <c r="P245" s="14"/>
      <c r="Q245" s="61"/>
      <c r="R245" s="61"/>
    </row>
    <row r="246" spans="5:18" ht="15.75">
      <c r="E246" s="14"/>
      <c r="F246" s="14"/>
      <c r="G246" s="14"/>
      <c r="H246" s="14"/>
      <c r="I246" s="14"/>
      <c r="J246" s="14"/>
      <c r="K246" s="14"/>
      <c r="L246" s="14"/>
      <c r="M246" s="14"/>
      <c r="N246" s="14"/>
      <c r="O246" s="14"/>
      <c r="P246" s="14"/>
      <c r="Q246" s="61"/>
      <c r="R246" s="61"/>
    </row>
    <row r="247" spans="5:18" ht="15.75">
      <c r="E247" s="14"/>
      <c r="F247" s="14"/>
      <c r="G247" s="14"/>
      <c r="H247" s="14"/>
      <c r="I247" s="14"/>
      <c r="J247" s="14"/>
      <c r="K247" s="14"/>
      <c r="L247" s="14"/>
      <c r="M247" s="14"/>
      <c r="N247" s="14"/>
      <c r="O247" s="14"/>
      <c r="P247" s="14"/>
      <c r="Q247" s="61"/>
      <c r="R247" s="61"/>
    </row>
    <row r="248" spans="5:18" ht="15.75">
      <c r="E248" s="14"/>
      <c r="F248" s="14"/>
      <c r="G248" s="14"/>
      <c r="H248" s="14"/>
      <c r="I248" s="14"/>
      <c r="J248" s="14"/>
      <c r="K248" s="14"/>
      <c r="L248" s="14"/>
      <c r="M248" s="14"/>
      <c r="N248" s="14"/>
      <c r="O248" s="14"/>
      <c r="P248" s="14"/>
      <c r="Q248" s="61"/>
      <c r="R248" s="61"/>
    </row>
    <row r="249" spans="5:18" ht="15.75">
      <c r="E249" s="14"/>
      <c r="F249" s="14"/>
      <c r="G249" s="14"/>
      <c r="H249" s="14"/>
      <c r="I249" s="14"/>
      <c r="J249" s="14"/>
      <c r="K249" s="14"/>
      <c r="L249" s="14"/>
      <c r="M249" s="14"/>
      <c r="N249" s="14"/>
      <c r="O249" s="14"/>
      <c r="P249" s="14"/>
      <c r="Q249" s="61"/>
      <c r="R249" s="61"/>
    </row>
    <row r="250" spans="5:18" ht="15.75">
      <c r="E250" s="14"/>
      <c r="F250" s="14"/>
      <c r="G250" s="14"/>
      <c r="H250" s="14"/>
      <c r="I250" s="14"/>
      <c r="J250" s="14"/>
      <c r="K250" s="14"/>
      <c r="L250" s="14"/>
      <c r="M250" s="14"/>
      <c r="N250" s="14"/>
      <c r="O250" s="14"/>
      <c r="P250" s="14"/>
      <c r="Q250" s="61"/>
      <c r="R250" s="61"/>
    </row>
    <row r="251" spans="5:18" ht="15.75">
      <c r="E251" s="14"/>
      <c r="F251" s="14"/>
      <c r="G251" s="14"/>
      <c r="H251" s="14"/>
      <c r="I251" s="14"/>
      <c r="J251" s="14"/>
      <c r="K251" s="14"/>
      <c r="L251" s="14"/>
      <c r="M251" s="14"/>
      <c r="N251" s="14"/>
      <c r="O251" s="14"/>
      <c r="P251" s="14"/>
      <c r="Q251" s="61"/>
      <c r="R251" s="61"/>
    </row>
    <row r="252" spans="5:18" ht="15.75">
      <c r="E252" s="14"/>
      <c r="F252" s="14"/>
      <c r="G252" s="14"/>
      <c r="H252" s="14"/>
      <c r="I252" s="14"/>
      <c r="J252" s="14"/>
      <c r="K252" s="14"/>
      <c r="L252" s="14"/>
      <c r="M252" s="14"/>
      <c r="N252" s="14"/>
      <c r="O252" s="14"/>
      <c r="P252" s="14"/>
      <c r="Q252" s="61"/>
      <c r="R252" s="61"/>
    </row>
    <row r="253" spans="5:18" ht="15.75">
      <c r="E253" s="14"/>
      <c r="F253" s="14"/>
      <c r="G253" s="14"/>
      <c r="H253" s="14"/>
      <c r="I253" s="14"/>
      <c r="J253" s="14"/>
      <c r="K253" s="14"/>
      <c r="L253" s="14"/>
      <c r="M253" s="14"/>
      <c r="N253" s="14"/>
      <c r="O253" s="14"/>
      <c r="P253" s="14"/>
      <c r="Q253" s="61"/>
      <c r="R253" s="61"/>
    </row>
    <row r="254" spans="5:18" ht="15.75">
      <c r="E254" s="14"/>
      <c r="F254" s="14"/>
      <c r="G254" s="14"/>
      <c r="H254" s="14"/>
      <c r="I254" s="14"/>
      <c r="J254" s="14"/>
      <c r="K254" s="14"/>
      <c r="L254" s="14"/>
      <c r="M254" s="14"/>
      <c r="N254" s="14"/>
      <c r="O254" s="14"/>
      <c r="P254" s="14"/>
      <c r="Q254" s="61"/>
      <c r="R254" s="61"/>
    </row>
    <row r="255" spans="5:18" ht="15.75">
      <c r="E255" s="14"/>
      <c r="F255" s="14"/>
      <c r="G255" s="14"/>
      <c r="H255" s="14"/>
      <c r="I255" s="14"/>
      <c r="J255" s="14"/>
      <c r="K255" s="14"/>
      <c r="L255" s="14"/>
      <c r="M255" s="14"/>
      <c r="N255" s="14"/>
      <c r="O255" s="14"/>
      <c r="P255" s="14"/>
      <c r="Q255" s="61"/>
      <c r="R255" s="61"/>
    </row>
    <row r="256" spans="5:18" ht="15.75">
      <c r="E256" s="14"/>
      <c r="F256" s="14"/>
      <c r="G256" s="14"/>
      <c r="H256" s="14"/>
      <c r="I256" s="14"/>
      <c r="J256" s="14"/>
      <c r="K256" s="14"/>
      <c r="L256" s="14"/>
      <c r="M256" s="14"/>
      <c r="N256" s="14"/>
      <c r="O256" s="14"/>
      <c r="P256" s="14"/>
      <c r="Q256" s="61"/>
      <c r="R256" s="61"/>
    </row>
    <row r="257" spans="5:18" ht="15.75">
      <c r="E257" s="14"/>
      <c r="F257" s="14"/>
      <c r="G257" s="14"/>
      <c r="H257" s="14"/>
      <c r="I257" s="14"/>
      <c r="J257" s="14"/>
      <c r="K257" s="14"/>
      <c r="L257" s="14"/>
      <c r="M257" s="14"/>
      <c r="N257" s="14"/>
      <c r="O257" s="14"/>
      <c r="P257" s="14"/>
      <c r="Q257" s="61"/>
      <c r="R257" s="61"/>
    </row>
    <row r="258" spans="5:18" ht="15.75">
      <c r="E258" s="14"/>
      <c r="F258" s="14"/>
      <c r="G258" s="14"/>
      <c r="H258" s="14"/>
      <c r="I258" s="14"/>
      <c r="J258" s="14"/>
      <c r="K258" s="14"/>
      <c r="L258" s="14"/>
      <c r="M258" s="14"/>
      <c r="N258" s="14"/>
      <c r="O258" s="14"/>
      <c r="P258" s="14"/>
      <c r="Q258" s="61"/>
      <c r="R258" s="61"/>
    </row>
    <row r="259" spans="5:18" ht="15.75">
      <c r="E259" s="14"/>
      <c r="F259" s="14"/>
      <c r="G259" s="14"/>
      <c r="H259" s="14"/>
      <c r="I259" s="14"/>
      <c r="J259" s="14"/>
      <c r="K259" s="14"/>
      <c r="L259" s="14"/>
      <c r="M259" s="14"/>
      <c r="N259" s="14"/>
      <c r="O259" s="14"/>
      <c r="P259" s="14"/>
      <c r="Q259" s="61"/>
      <c r="R259" s="61"/>
    </row>
    <row r="260" spans="5:18" ht="15.75">
      <c r="E260" s="14"/>
      <c r="F260" s="14"/>
      <c r="G260" s="14"/>
      <c r="H260" s="14"/>
      <c r="I260" s="14"/>
      <c r="J260" s="14"/>
      <c r="K260" s="14"/>
      <c r="L260" s="14"/>
      <c r="M260" s="14"/>
      <c r="N260" s="14"/>
      <c r="O260" s="14"/>
      <c r="P260" s="14"/>
      <c r="Q260" s="61"/>
      <c r="R260" s="61"/>
    </row>
    <row r="261" spans="5:18" ht="15.75">
      <c r="E261" s="14"/>
      <c r="F261" s="14"/>
      <c r="G261" s="14"/>
      <c r="H261" s="14"/>
      <c r="I261" s="14"/>
      <c r="J261" s="14"/>
      <c r="K261" s="14"/>
      <c r="L261" s="14"/>
      <c r="M261" s="14"/>
      <c r="N261" s="14"/>
      <c r="O261" s="14"/>
      <c r="P261" s="14"/>
      <c r="Q261" s="61"/>
      <c r="R261" s="61"/>
    </row>
    <row r="262" spans="5:18" ht="15.75">
      <c r="E262" s="14"/>
      <c r="F262" s="14"/>
      <c r="G262" s="14"/>
      <c r="H262" s="14"/>
      <c r="I262" s="14"/>
      <c r="J262" s="14"/>
      <c r="K262" s="14"/>
      <c r="L262" s="14"/>
      <c r="M262" s="14"/>
      <c r="N262" s="14"/>
      <c r="O262" s="14"/>
      <c r="P262" s="14"/>
      <c r="Q262" s="61"/>
      <c r="R262" s="61"/>
    </row>
    <row r="263" spans="5:18" ht="15.75">
      <c r="E263" s="14"/>
      <c r="F263" s="14"/>
      <c r="G263" s="14"/>
      <c r="H263" s="14"/>
      <c r="I263" s="14"/>
      <c r="J263" s="14"/>
      <c r="K263" s="14"/>
      <c r="L263" s="14"/>
      <c r="M263" s="14"/>
      <c r="N263" s="14"/>
      <c r="O263" s="14"/>
      <c r="P263" s="14"/>
      <c r="Q263" s="61"/>
      <c r="R263" s="61"/>
    </row>
    <row r="264" spans="5:18" ht="15.75">
      <c r="E264" s="14"/>
      <c r="F264" s="14"/>
      <c r="G264" s="14"/>
      <c r="H264" s="14"/>
      <c r="I264" s="14"/>
      <c r="J264" s="14"/>
      <c r="K264" s="14"/>
      <c r="L264" s="14"/>
      <c r="M264" s="14"/>
      <c r="N264" s="14"/>
      <c r="O264" s="14"/>
      <c r="P264" s="14"/>
      <c r="Q264" s="61"/>
      <c r="R264" s="61"/>
    </row>
    <row r="265" spans="5:18" ht="15.75">
      <c r="E265" s="14"/>
      <c r="F265" s="14"/>
      <c r="G265" s="14"/>
      <c r="H265" s="14"/>
      <c r="I265" s="14"/>
      <c r="J265" s="14"/>
      <c r="K265" s="14"/>
      <c r="L265" s="14"/>
      <c r="M265" s="14"/>
      <c r="N265" s="14"/>
      <c r="O265" s="14"/>
      <c r="P265" s="14"/>
      <c r="Q265" s="61"/>
      <c r="R265" s="61"/>
    </row>
    <row r="266" spans="5:18" ht="15.75">
      <c r="E266" s="14"/>
      <c r="F266" s="14"/>
      <c r="G266" s="14"/>
      <c r="H266" s="14"/>
      <c r="I266" s="14"/>
      <c r="J266" s="14"/>
      <c r="K266" s="14"/>
      <c r="L266" s="14"/>
      <c r="M266" s="14"/>
      <c r="N266" s="14"/>
      <c r="O266" s="14"/>
      <c r="P266" s="14"/>
      <c r="Q266" s="61"/>
      <c r="R266" s="61"/>
    </row>
    <row r="267" spans="5:18" ht="15.75">
      <c r="E267" s="14"/>
      <c r="F267" s="14"/>
      <c r="G267" s="14"/>
      <c r="H267" s="14"/>
      <c r="I267" s="14"/>
      <c r="J267" s="14"/>
      <c r="K267" s="14"/>
      <c r="L267" s="14"/>
      <c r="M267" s="14"/>
      <c r="N267" s="14"/>
      <c r="O267" s="14"/>
      <c r="P267" s="14"/>
      <c r="Q267" s="61"/>
      <c r="R267" s="61"/>
    </row>
    <row r="268" spans="5:18" ht="15.75">
      <c r="E268" s="14"/>
      <c r="F268" s="14"/>
      <c r="G268" s="14"/>
      <c r="H268" s="14"/>
      <c r="I268" s="14"/>
      <c r="J268" s="14"/>
      <c r="K268" s="14"/>
      <c r="L268" s="14"/>
      <c r="M268" s="14"/>
      <c r="N268" s="14"/>
      <c r="O268" s="14"/>
      <c r="P268" s="14"/>
      <c r="Q268" s="61"/>
      <c r="R268" s="61"/>
    </row>
    <row r="269" spans="5:18" ht="15.75">
      <c r="E269" s="14"/>
      <c r="F269" s="14"/>
      <c r="G269" s="14"/>
      <c r="H269" s="14"/>
      <c r="I269" s="14"/>
      <c r="J269" s="14"/>
      <c r="K269" s="14"/>
      <c r="L269" s="14"/>
      <c r="M269" s="14"/>
      <c r="N269" s="14"/>
      <c r="O269" s="14"/>
      <c r="P269" s="14"/>
      <c r="Q269" s="61"/>
      <c r="R269" s="61"/>
    </row>
    <row r="270" spans="5:18" ht="15.75">
      <c r="E270" s="14"/>
      <c r="F270" s="14"/>
      <c r="G270" s="14"/>
      <c r="H270" s="14"/>
      <c r="I270" s="14"/>
      <c r="J270" s="14"/>
      <c r="K270" s="14"/>
      <c r="L270" s="14"/>
      <c r="M270" s="14"/>
      <c r="N270" s="14"/>
      <c r="O270" s="14"/>
      <c r="P270" s="14"/>
      <c r="Q270" s="61"/>
      <c r="R270" s="61"/>
    </row>
    <row r="271" spans="5:18" ht="15.75">
      <c r="E271" s="14"/>
      <c r="F271" s="14"/>
      <c r="G271" s="14"/>
      <c r="H271" s="14"/>
      <c r="I271" s="14"/>
      <c r="J271" s="14"/>
      <c r="K271" s="14"/>
      <c r="L271" s="14"/>
      <c r="M271" s="14"/>
      <c r="N271" s="14"/>
      <c r="O271" s="14"/>
      <c r="P271" s="14"/>
      <c r="Q271" s="61"/>
      <c r="R271" s="61"/>
    </row>
    <row r="272" spans="5:18" ht="15.75">
      <c r="E272" s="14"/>
      <c r="F272" s="14"/>
      <c r="G272" s="14"/>
      <c r="H272" s="14"/>
      <c r="I272" s="14"/>
      <c r="J272" s="14"/>
      <c r="K272" s="14"/>
      <c r="L272" s="14"/>
      <c r="M272" s="14"/>
      <c r="N272" s="14"/>
      <c r="O272" s="14"/>
      <c r="P272" s="14"/>
      <c r="Q272" s="61"/>
      <c r="R272" s="61"/>
    </row>
    <row r="273" spans="5:18" ht="15.75">
      <c r="E273" s="14"/>
      <c r="F273" s="14"/>
      <c r="G273" s="14"/>
      <c r="H273" s="14"/>
      <c r="I273" s="14"/>
      <c r="J273" s="14"/>
      <c r="K273" s="14"/>
      <c r="L273" s="14"/>
      <c r="M273" s="14"/>
      <c r="N273" s="14"/>
      <c r="O273" s="14"/>
      <c r="P273" s="14"/>
      <c r="Q273" s="61"/>
      <c r="R273" s="61"/>
    </row>
    <row r="274" spans="5:18" ht="15.75">
      <c r="E274" s="14"/>
      <c r="F274" s="14"/>
      <c r="G274" s="14"/>
      <c r="H274" s="14"/>
      <c r="I274" s="14"/>
      <c r="J274" s="14"/>
      <c r="K274" s="14"/>
      <c r="L274" s="14"/>
      <c r="M274" s="14"/>
      <c r="N274" s="14"/>
      <c r="O274" s="14"/>
      <c r="P274" s="14"/>
      <c r="Q274" s="61"/>
      <c r="R274" s="61"/>
    </row>
    <row r="275" spans="5:18" ht="15.75">
      <c r="E275" s="14"/>
      <c r="F275" s="14"/>
      <c r="G275" s="14"/>
      <c r="H275" s="14"/>
      <c r="I275" s="14"/>
      <c r="J275" s="14"/>
      <c r="K275" s="14"/>
      <c r="L275" s="14"/>
      <c r="M275" s="14"/>
      <c r="N275" s="14"/>
      <c r="O275" s="14"/>
      <c r="P275" s="14"/>
      <c r="Q275" s="61"/>
      <c r="R275" s="61"/>
    </row>
    <row r="276" spans="5:18" ht="15.75">
      <c r="E276" s="14"/>
      <c r="F276" s="14"/>
      <c r="G276" s="14"/>
      <c r="H276" s="14"/>
      <c r="I276" s="14"/>
      <c r="J276" s="14"/>
      <c r="K276" s="14"/>
      <c r="L276" s="14"/>
      <c r="M276" s="14"/>
      <c r="N276" s="14"/>
      <c r="O276" s="14"/>
      <c r="P276" s="14"/>
      <c r="Q276" s="61"/>
      <c r="R276" s="61"/>
    </row>
    <row r="277" spans="5:18" ht="15.75">
      <c r="E277" s="14"/>
      <c r="F277" s="14"/>
      <c r="G277" s="14"/>
      <c r="H277" s="14"/>
      <c r="I277" s="14"/>
      <c r="J277" s="14"/>
      <c r="K277" s="14"/>
      <c r="L277" s="14"/>
      <c r="M277" s="14"/>
      <c r="N277" s="14"/>
      <c r="O277" s="14"/>
      <c r="P277" s="14"/>
      <c r="Q277" s="61"/>
      <c r="R277" s="61"/>
    </row>
    <row r="278" spans="5:18" ht="15.75">
      <c r="E278" s="14"/>
      <c r="F278" s="14"/>
      <c r="G278" s="14"/>
      <c r="H278" s="14"/>
      <c r="I278" s="14"/>
      <c r="J278" s="14"/>
      <c r="K278" s="14"/>
      <c r="L278" s="14"/>
      <c r="M278" s="14"/>
      <c r="N278" s="14"/>
      <c r="O278" s="14"/>
      <c r="P278" s="14"/>
      <c r="Q278" s="61"/>
      <c r="R278" s="61"/>
    </row>
    <row r="279" spans="5:18" ht="15.75">
      <c r="E279" s="14"/>
      <c r="F279" s="14"/>
      <c r="G279" s="14"/>
      <c r="H279" s="14"/>
      <c r="I279" s="14"/>
      <c r="J279" s="14"/>
      <c r="K279" s="14"/>
      <c r="L279" s="14"/>
      <c r="M279" s="14"/>
      <c r="N279" s="14"/>
      <c r="O279" s="14"/>
      <c r="P279" s="14"/>
      <c r="Q279" s="61"/>
      <c r="R279" s="61"/>
    </row>
    <row r="280" spans="5:18" ht="15.75">
      <c r="E280" s="14"/>
      <c r="F280" s="14"/>
      <c r="G280" s="14"/>
      <c r="H280" s="14"/>
      <c r="I280" s="14"/>
      <c r="J280" s="14"/>
      <c r="K280" s="14"/>
      <c r="L280" s="14"/>
      <c r="M280" s="14"/>
      <c r="N280" s="14"/>
      <c r="O280" s="14"/>
      <c r="P280" s="14"/>
      <c r="Q280" s="61"/>
      <c r="R280" s="61"/>
    </row>
    <row r="281" spans="5:18" ht="15.75">
      <c r="E281" s="14"/>
      <c r="F281" s="14"/>
      <c r="G281" s="14"/>
      <c r="H281" s="14"/>
      <c r="I281" s="14"/>
      <c r="J281" s="14"/>
      <c r="K281" s="14"/>
      <c r="L281" s="14"/>
      <c r="M281" s="14"/>
      <c r="N281" s="14"/>
      <c r="O281" s="14"/>
      <c r="P281" s="14"/>
      <c r="Q281" s="61"/>
      <c r="R281" s="61"/>
    </row>
    <row r="282" spans="5:18" ht="15.75">
      <c r="E282" s="14"/>
      <c r="F282" s="14"/>
      <c r="G282" s="14"/>
      <c r="H282" s="14"/>
      <c r="I282" s="14"/>
      <c r="J282" s="14"/>
      <c r="K282" s="14"/>
      <c r="L282" s="14"/>
      <c r="M282" s="14"/>
      <c r="N282" s="14"/>
      <c r="O282" s="14"/>
      <c r="P282" s="14"/>
      <c r="Q282" s="61"/>
      <c r="R282" s="61"/>
    </row>
    <row r="283" spans="5:18" ht="15.75">
      <c r="E283" s="14"/>
      <c r="F283" s="14"/>
      <c r="G283" s="14"/>
      <c r="H283" s="14"/>
      <c r="I283" s="14"/>
      <c r="J283" s="14"/>
      <c r="K283" s="14"/>
      <c r="L283" s="14"/>
      <c r="M283" s="14"/>
      <c r="N283" s="14"/>
      <c r="O283" s="14"/>
      <c r="P283" s="14"/>
      <c r="Q283" s="61"/>
      <c r="R283" s="61"/>
    </row>
    <row r="284" spans="5:18" ht="15.75">
      <c r="E284" s="14"/>
      <c r="F284" s="14"/>
      <c r="G284" s="14"/>
      <c r="H284" s="14"/>
      <c r="I284" s="14"/>
      <c r="J284" s="14"/>
      <c r="K284" s="14"/>
      <c r="L284" s="14"/>
      <c r="M284" s="14"/>
      <c r="N284" s="14"/>
      <c r="O284" s="14"/>
      <c r="P284" s="14"/>
      <c r="Q284" s="61"/>
      <c r="R284" s="61"/>
    </row>
    <row r="285" spans="5:18" ht="15.75">
      <c r="E285" s="14"/>
      <c r="F285" s="14"/>
      <c r="G285" s="14"/>
      <c r="H285" s="14"/>
      <c r="I285" s="14"/>
      <c r="J285" s="14"/>
      <c r="K285" s="14"/>
      <c r="L285" s="14"/>
      <c r="M285" s="14"/>
      <c r="N285" s="14"/>
      <c r="O285" s="14"/>
      <c r="P285" s="14"/>
      <c r="Q285" s="61"/>
      <c r="R285" s="61"/>
    </row>
    <row r="286" spans="5:18" ht="15.75">
      <c r="E286" s="14"/>
      <c r="F286" s="14"/>
      <c r="G286" s="14"/>
      <c r="H286" s="14"/>
      <c r="I286" s="14"/>
      <c r="J286" s="14"/>
      <c r="K286" s="14"/>
      <c r="L286" s="14"/>
      <c r="M286" s="14"/>
      <c r="N286" s="14"/>
      <c r="O286" s="14"/>
      <c r="P286" s="14"/>
      <c r="Q286" s="61"/>
      <c r="R286" s="61"/>
    </row>
    <row r="287" spans="5:18" ht="15.75">
      <c r="E287" s="14"/>
      <c r="F287" s="14"/>
      <c r="G287" s="14"/>
      <c r="H287" s="14"/>
      <c r="I287" s="14"/>
      <c r="J287" s="14"/>
      <c r="K287" s="14"/>
      <c r="L287" s="14"/>
      <c r="M287" s="14"/>
      <c r="N287" s="14"/>
      <c r="O287" s="14"/>
      <c r="P287" s="14"/>
      <c r="Q287" s="61"/>
      <c r="R287" s="61"/>
    </row>
    <row r="288" spans="5:18" ht="15.75">
      <c r="E288" s="14"/>
      <c r="F288" s="14"/>
      <c r="G288" s="14"/>
      <c r="H288" s="14"/>
      <c r="I288" s="14"/>
      <c r="J288" s="14"/>
      <c r="K288" s="14"/>
      <c r="L288" s="14"/>
      <c r="M288" s="14"/>
      <c r="N288" s="14"/>
      <c r="O288" s="14"/>
      <c r="P288" s="14"/>
      <c r="Q288" s="61"/>
      <c r="R288" s="61"/>
    </row>
    <row r="289" spans="5:18" ht="15.75">
      <c r="E289" s="14"/>
      <c r="F289" s="14"/>
      <c r="G289" s="14"/>
      <c r="H289" s="14"/>
      <c r="I289" s="14"/>
      <c r="J289" s="14"/>
      <c r="K289" s="14"/>
      <c r="L289" s="14"/>
      <c r="M289" s="14"/>
      <c r="N289" s="14"/>
      <c r="O289" s="14"/>
      <c r="P289" s="14"/>
      <c r="Q289" s="61"/>
      <c r="R289" s="61"/>
    </row>
    <row r="290" spans="5:18" ht="15.75">
      <c r="E290" s="14"/>
      <c r="F290" s="14"/>
      <c r="G290" s="14"/>
      <c r="H290" s="14"/>
      <c r="I290" s="14"/>
      <c r="J290" s="14"/>
      <c r="K290" s="14"/>
      <c r="L290" s="14"/>
      <c r="M290" s="14"/>
      <c r="N290" s="14"/>
      <c r="O290" s="14"/>
      <c r="P290" s="14"/>
      <c r="Q290" s="61"/>
      <c r="R290" s="61"/>
    </row>
    <row r="291" spans="5:18" ht="15.75">
      <c r="E291" s="14"/>
      <c r="F291" s="14"/>
      <c r="G291" s="14"/>
      <c r="H291" s="14"/>
      <c r="I291" s="14"/>
      <c r="J291" s="14"/>
      <c r="K291" s="14"/>
      <c r="L291" s="14"/>
      <c r="M291" s="14"/>
      <c r="N291" s="14"/>
      <c r="O291" s="14"/>
      <c r="P291" s="14"/>
      <c r="Q291" s="61"/>
      <c r="R291" s="61"/>
    </row>
    <row r="292" spans="5:18" ht="15.75">
      <c r="E292" s="14"/>
      <c r="F292" s="14"/>
      <c r="G292" s="14"/>
      <c r="H292" s="14"/>
      <c r="I292" s="14"/>
      <c r="J292" s="14"/>
      <c r="K292" s="14"/>
      <c r="L292" s="14"/>
      <c r="M292" s="14"/>
      <c r="N292" s="14"/>
      <c r="O292" s="14"/>
      <c r="P292" s="14"/>
      <c r="Q292" s="61"/>
      <c r="R292" s="61"/>
    </row>
    <row r="293" spans="5:18" ht="15.75">
      <c r="E293" s="14"/>
      <c r="F293" s="14"/>
      <c r="G293" s="14"/>
      <c r="H293" s="14"/>
      <c r="I293" s="14"/>
      <c r="J293" s="14"/>
      <c r="K293" s="14"/>
      <c r="L293" s="14"/>
      <c r="M293" s="14"/>
      <c r="N293" s="14"/>
      <c r="O293" s="14"/>
      <c r="P293" s="14"/>
      <c r="Q293" s="61"/>
      <c r="R293" s="61"/>
    </row>
    <row r="294" spans="5:18" ht="15.75">
      <c r="E294" s="14"/>
      <c r="F294" s="14"/>
      <c r="G294" s="14"/>
      <c r="H294" s="14"/>
      <c r="I294" s="14"/>
      <c r="J294" s="14"/>
      <c r="K294" s="14"/>
      <c r="L294" s="14"/>
      <c r="M294" s="14"/>
      <c r="N294" s="14"/>
      <c r="O294" s="14"/>
      <c r="P294" s="14"/>
      <c r="Q294" s="61"/>
      <c r="R294" s="61"/>
    </row>
    <row r="295" spans="5:18" ht="15.75">
      <c r="E295" s="14"/>
      <c r="F295" s="14"/>
      <c r="G295" s="14"/>
      <c r="H295" s="14"/>
      <c r="I295" s="14"/>
      <c r="J295" s="14"/>
      <c r="K295" s="14"/>
      <c r="L295" s="14"/>
      <c r="M295" s="14"/>
      <c r="N295" s="14"/>
      <c r="O295" s="14"/>
      <c r="P295" s="14"/>
      <c r="Q295" s="61"/>
      <c r="R295" s="61"/>
    </row>
    <row r="296" spans="5:18" ht="15.75">
      <c r="E296" s="14"/>
      <c r="F296" s="14"/>
      <c r="G296" s="14"/>
      <c r="H296" s="14"/>
      <c r="I296" s="14"/>
      <c r="J296" s="14"/>
      <c r="K296" s="14"/>
      <c r="L296" s="14"/>
      <c r="M296" s="14"/>
      <c r="N296" s="14"/>
      <c r="O296" s="14"/>
      <c r="P296" s="14"/>
      <c r="Q296" s="61"/>
      <c r="R296" s="61"/>
    </row>
    <row r="297" spans="5:18" ht="15.75">
      <c r="E297" s="14"/>
      <c r="F297" s="14"/>
      <c r="G297" s="14"/>
      <c r="H297" s="14"/>
      <c r="I297" s="14"/>
      <c r="J297" s="14"/>
      <c r="K297" s="14"/>
      <c r="L297" s="14"/>
      <c r="M297" s="14"/>
      <c r="N297" s="14"/>
      <c r="O297" s="14"/>
      <c r="P297" s="14"/>
      <c r="Q297" s="61"/>
      <c r="R297" s="61"/>
    </row>
    <row r="298" spans="5:18" ht="15.75">
      <c r="E298" s="14"/>
      <c r="F298" s="14"/>
      <c r="G298" s="14"/>
      <c r="H298" s="14"/>
      <c r="I298" s="14"/>
      <c r="J298" s="14"/>
      <c r="K298" s="14"/>
      <c r="L298" s="14"/>
      <c r="M298" s="14"/>
      <c r="N298" s="14"/>
      <c r="O298" s="14"/>
      <c r="P298" s="14"/>
      <c r="Q298" s="61"/>
      <c r="R298" s="61"/>
    </row>
    <row r="299" spans="5:18" ht="15.75">
      <c r="E299" s="14"/>
      <c r="F299" s="14"/>
      <c r="G299" s="14"/>
      <c r="H299" s="14"/>
      <c r="I299" s="14"/>
      <c r="J299" s="14"/>
      <c r="K299" s="14"/>
      <c r="L299" s="14"/>
      <c r="M299" s="14"/>
      <c r="N299" s="14"/>
      <c r="O299" s="14"/>
      <c r="P299" s="14"/>
      <c r="Q299" s="61"/>
      <c r="R299" s="61"/>
    </row>
    <row r="300" spans="5:18" ht="15.75">
      <c r="E300" s="14"/>
      <c r="F300" s="14"/>
      <c r="G300" s="14"/>
      <c r="H300" s="14"/>
      <c r="I300" s="14"/>
      <c r="J300" s="14"/>
      <c r="K300" s="14"/>
      <c r="L300" s="14"/>
      <c r="M300" s="14"/>
      <c r="N300" s="14"/>
      <c r="O300" s="14"/>
      <c r="P300" s="14"/>
      <c r="Q300" s="61"/>
      <c r="R300" s="61"/>
    </row>
    <row r="301" spans="5:18" ht="15.75">
      <c r="E301" s="14"/>
      <c r="F301" s="14"/>
      <c r="G301" s="14"/>
      <c r="H301" s="14"/>
      <c r="I301" s="14"/>
      <c r="J301" s="14"/>
      <c r="K301" s="14"/>
      <c r="L301" s="14"/>
      <c r="M301" s="14"/>
      <c r="N301" s="14"/>
      <c r="O301" s="14"/>
      <c r="P301" s="14"/>
      <c r="Q301" s="61"/>
      <c r="R301" s="61"/>
    </row>
    <row r="302" spans="5:18" ht="15.75">
      <c r="E302" s="14"/>
      <c r="F302" s="14"/>
      <c r="G302" s="14"/>
      <c r="H302" s="14"/>
      <c r="I302" s="14"/>
      <c r="J302" s="14"/>
      <c r="K302" s="14"/>
      <c r="L302" s="14"/>
      <c r="M302" s="14"/>
      <c r="N302" s="14"/>
      <c r="O302" s="14"/>
      <c r="P302" s="14"/>
      <c r="Q302" s="61"/>
      <c r="R302" s="61"/>
    </row>
    <row r="303" spans="5:18" ht="15.75">
      <c r="E303" s="14"/>
      <c r="F303" s="14"/>
      <c r="G303" s="14"/>
      <c r="H303" s="14"/>
      <c r="I303" s="14"/>
      <c r="J303" s="14"/>
      <c r="K303" s="14"/>
      <c r="L303" s="14"/>
      <c r="M303" s="14"/>
      <c r="N303" s="14"/>
      <c r="O303" s="14"/>
      <c r="P303" s="14"/>
      <c r="Q303" s="61"/>
      <c r="R303" s="61"/>
    </row>
    <row r="304" spans="5:18" ht="15.75">
      <c r="E304" s="14"/>
      <c r="F304" s="14"/>
      <c r="G304" s="14"/>
      <c r="H304" s="14"/>
      <c r="I304" s="14"/>
      <c r="J304" s="14"/>
      <c r="K304" s="14"/>
      <c r="L304" s="14"/>
      <c r="M304" s="14"/>
      <c r="N304" s="14"/>
      <c r="O304" s="14"/>
      <c r="P304" s="14"/>
      <c r="Q304" s="61"/>
      <c r="R304" s="61"/>
    </row>
    <row r="305" spans="5:18" ht="15.75">
      <c r="E305" s="14"/>
      <c r="F305" s="14"/>
      <c r="G305" s="14"/>
      <c r="H305" s="14"/>
      <c r="I305" s="14"/>
      <c r="J305" s="14"/>
      <c r="K305" s="14"/>
      <c r="L305" s="14"/>
      <c r="M305" s="14"/>
      <c r="N305" s="14"/>
      <c r="O305" s="14"/>
      <c r="P305" s="14"/>
      <c r="Q305" s="61"/>
      <c r="R305" s="61"/>
    </row>
    <row r="306" spans="5:18" ht="15.75">
      <c r="E306" s="14"/>
      <c r="F306" s="14"/>
      <c r="G306" s="14"/>
      <c r="H306" s="14"/>
      <c r="I306" s="14"/>
      <c r="J306" s="14"/>
      <c r="K306" s="14"/>
      <c r="L306" s="14"/>
      <c r="M306" s="14"/>
      <c r="N306" s="14"/>
      <c r="O306" s="14"/>
      <c r="P306" s="14"/>
      <c r="Q306" s="61"/>
      <c r="R306" s="61"/>
    </row>
    <row r="307" spans="5:18" ht="15.75">
      <c r="E307" s="14"/>
      <c r="F307" s="14"/>
      <c r="G307" s="14"/>
      <c r="H307" s="14"/>
      <c r="I307" s="14"/>
      <c r="J307" s="14"/>
      <c r="K307" s="14"/>
      <c r="L307" s="14"/>
      <c r="M307" s="14"/>
      <c r="N307" s="14"/>
      <c r="O307" s="14"/>
      <c r="P307" s="14"/>
      <c r="Q307" s="61"/>
      <c r="R307" s="61"/>
    </row>
    <row r="308" spans="5:18" ht="15.75">
      <c r="E308" s="14"/>
      <c r="F308" s="14"/>
      <c r="G308" s="14"/>
      <c r="H308" s="14"/>
      <c r="I308" s="14"/>
      <c r="J308" s="14"/>
      <c r="K308" s="14"/>
      <c r="L308" s="14"/>
      <c r="M308" s="14"/>
      <c r="N308" s="14"/>
      <c r="O308" s="14"/>
      <c r="P308" s="14"/>
      <c r="Q308" s="61"/>
      <c r="R308" s="61"/>
    </row>
    <row r="309" spans="5:18" ht="15.75">
      <c r="E309" s="14"/>
      <c r="F309" s="14"/>
      <c r="G309" s="14"/>
      <c r="H309" s="14"/>
      <c r="I309" s="14"/>
      <c r="J309" s="14"/>
      <c r="K309" s="14"/>
      <c r="L309" s="14"/>
      <c r="M309" s="14"/>
      <c r="N309" s="14"/>
      <c r="O309" s="14"/>
      <c r="P309" s="14"/>
      <c r="Q309" s="61"/>
      <c r="R309" s="61"/>
    </row>
    <row r="310" spans="5:18" ht="15.75">
      <c r="E310" s="14"/>
      <c r="F310" s="14"/>
      <c r="G310" s="14"/>
      <c r="H310" s="14"/>
      <c r="I310" s="14"/>
      <c r="J310" s="14"/>
      <c r="K310" s="14"/>
      <c r="L310" s="14"/>
      <c r="M310" s="14"/>
      <c r="N310" s="14"/>
      <c r="O310" s="14"/>
      <c r="P310" s="14"/>
      <c r="Q310" s="61"/>
      <c r="R310" s="61"/>
    </row>
    <row r="311" spans="5:18" ht="15.75">
      <c r="E311" s="14"/>
      <c r="F311" s="14"/>
      <c r="G311" s="14"/>
      <c r="H311" s="14"/>
      <c r="I311" s="14"/>
      <c r="J311" s="14"/>
      <c r="K311" s="14"/>
      <c r="L311" s="14"/>
      <c r="M311" s="14"/>
      <c r="N311" s="14"/>
      <c r="O311" s="14"/>
      <c r="P311" s="14"/>
      <c r="Q311" s="61"/>
      <c r="R311" s="61"/>
    </row>
    <row r="312" spans="5:18" ht="15.75">
      <c r="E312" s="14"/>
      <c r="F312" s="14"/>
      <c r="G312" s="14"/>
      <c r="H312" s="14"/>
      <c r="I312" s="14"/>
      <c r="J312" s="14"/>
      <c r="K312" s="14"/>
      <c r="L312" s="14"/>
      <c r="M312" s="14"/>
      <c r="N312" s="14"/>
      <c r="O312" s="14"/>
      <c r="P312" s="14"/>
      <c r="Q312" s="61"/>
      <c r="R312" s="61"/>
    </row>
    <row r="313" spans="5:18" ht="15.75">
      <c r="E313" s="14"/>
      <c r="F313" s="14"/>
      <c r="G313" s="14"/>
      <c r="H313" s="14"/>
      <c r="I313" s="14"/>
      <c r="J313" s="14"/>
      <c r="K313" s="14"/>
      <c r="L313" s="14"/>
      <c r="M313" s="14"/>
      <c r="N313" s="14"/>
      <c r="O313" s="14"/>
      <c r="P313" s="14"/>
      <c r="Q313" s="61"/>
      <c r="R313" s="61"/>
    </row>
    <row r="314" spans="5:18" ht="15.75">
      <c r="E314" s="14"/>
      <c r="F314" s="14"/>
      <c r="G314" s="14"/>
      <c r="H314" s="14"/>
      <c r="I314" s="14"/>
      <c r="J314" s="14"/>
      <c r="K314" s="14"/>
      <c r="L314" s="14"/>
      <c r="M314" s="14"/>
      <c r="N314" s="14"/>
      <c r="O314" s="14"/>
      <c r="P314" s="14"/>
      <c r="Q314" s="61"/>
      <c r="R314" s="61"/>
    </row>
  </sheetData>
  <sheetProtection/>
  <mergeCells count="28">
    <mergeCell ref="O10:Q10"/>
    <mergeCell ref="O11:P11"/>
    <mergeCell ref="Q11:Q12"/>
    <mergeCell ref="G11:H11"/>
    <mergeCell ref="K8:M10"/>
    <mergeCell ref="G10:I10"/>
    <mergeCell ref="L11:M11"/>
    <mergeCell ref="C8:E10"/>
    <mergeCell ref="I11:I12"/>
    <mergeCell ref="A15:B15"/>
    <mergeCell ref="C11:C12"/>
    <mergeCell ref="N10:N12"/>
    <mergeCell ref="C7:J7"/>
    <mergeCell ref="A14:B14"/>
    <mergeCell ref="D11:E11"/>
    <mergeCell ref="A37:B37"/>
    <mergeCell ref="F8:I9"/>
    <mergeCell ref="F10:F12"/>
    <mergeCell ref="R8:R12"/>
    <mergeCell ref="A13:B13"/>
    <mergeCell ref="A7:B12"/>
    <mergeCell ref="A2:R2"/>
    <mergeCell ref="A3:R3"/>
    <mergeCell ref="A4:R4"/>
    <mergeCell ref="N8:Q9"/>
    <mergeCell ref="J8:J12"/>
    <mergeCell ref="K7:R7"/>
    <mergeCell ref="K11:K12"/>
  </mergeCells>
  <printOptions/>
  <pageMargins left="0.25" right="0.25" top="0.75" bottom="0.5"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AX315"/>
  <sheetViews>
    <sheetView zoomScalePageLayoutView="0" workbookViewId="0" topLeftCell="A85">
      <selection activeCell="C15" sqref="C15:H15"/>
    </sheetView>
  </sheetViews>
  <sheetFormatPr defaultColWidth="9.140625" defaultRowHeight="12.75"/>
  <cols>
    <col min="1" max="1" width="3.28125" style="1" customWidth="1"/>
    <col min="2" max="2" width="34.421875" style="1" customWidth="1"/>
    <col min="3" max="3" width="8.57421875" style="1" customWidth="1"/>
    <col min="4" max="4" width="10.00390625" style="1" customWidth="1"/>
    <col min="5" max="6" width="8.8515625" style="1" customWidth="1"/>
    <col min="7" max="7" width="12.8515625" style="177" customWidth="1"/>
    <col min="8" max="8" width="10.00390625" style="177" customWidth="1"/>
    <col min="9" max="16384" width="9.140625" style="177" customWidth="1"/>
  </cols>
  <sheetData>
    <row r="1" spans="1:6" ht="19.5" customHeight="1">
      <c r="A1" s="49" t="s">
        <v>7</v>
      </c>
      <c r="B1" s="49"/>
      <c r="C1" s="14"/>
      <c r="D1" s="14"/>
      <c r="E1" s="14"/>
      <c r="F1" s="14"/>
    </row>
    <row r="2" spans="1:50" s="15" customFormat="1" ht="18.75">
      <c r="A2" s="293" t="s">
        <v>158</v>
      </c>
      <c r="B2" s="293"/>
      <c r="C2" s="293"/>
      <c r="D2" s="293"/>
      <c r="E2" s="293"/>
      <c r="F2" s="293"/>
      <c r="G2" s="293"/>
      <c r="H2" s="293"/>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row>
    <row r="3" spans="1:50" s="15" customFormat="1" ht="41.25" customHeight="1">
      <c r="A3" s="303" t="s">
        <v>301</v>
      </c>
      <c r="B3" s="303"/>
      <c r="C3" s="303"/>
      <c r="D3" s="303"/>
      <c r="E3" s="303"/>
      <c r="F3" s="303"/>
      <c r="G3" s="303"/>
      <c r="H3" s="303"/>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s="15" customFormat="1" ht="18.75">
      <c r="A4" s="303" t="s">
        <v>302</v>
      </c>
      <c r="B4" s="303"/>
      <c r="C4" s="303"/>
      <c r="D4" s="303"/>
      <c r="E4" s="303"/>
      <c r="F4" s="303"/>
      <c r="G4" s="303"/>
      <c r="H4" s="303"/>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s="15" customFormat="1" ht="21.75" customHeight="1">
      <c r="A5" s="293" t="s">
        <v>282</v>
      </c>
      <c r="B5" s="294"/>
      <c r="C5" s="294"/>
      <c r="D5" s="294"/>
      <c r="E5" s="294"/>
      <c r="F5" s="294"/>
      <c r="G5" s="294"/>
      <c r="H5" s="294"/>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row>
    <row r="6" spans="1:6" ht="15.75">
      <c r="A6" s="16"/>
      <c r="B6" s="38"/>
      <c r="C6" s="14"/>
      <c r="D6" s="14"/>
      <c r="E6" s="14"/>
      <c r="F6" s="14"/>
    </row>
    <row r="7" spans="1:8" ht="15.75" customHeight="1">
      <c r="A7" s="2"/>
      <c r="B7" s="39"/>
      <c r="C7" s="14"/>
      <c r="D7" s="14"/>
      <c r="F7" s="14"/>
      <c r="G7" s="41" t="s">
        <v>45</v>
      </c>
      <c r="H7" s="4"/>
    </row>
    <row r="8" spans="1:8" ht="40.5" customHeight="1">
      <c r="A8" s="281"/>
      <c r="B8" s="282"/>
      <c r="C8" s="319" t="s">
        <v>141</v>
      </c>
      <c r="D8" s="319"/>
      <c r="E8" s="319"/>
      <c r="F8" s="310" t="s">
        <v>136</v>
      </c>
      <c r="G8" s="317"/>
      <c r="H8" s="288"/>
    </row>
    <row r="9" spans="1:8" ht="12.75" customHeight="1">
      <c r="A9" s="283"/>
      <c r="B9" s="284"/>
      <c r="C9" s="298" t="s">
        <v>9</v>
      </c>
      <c r="D9" s="298" t="s">
        <v>44</v>
      </c>
      <c r="E9" s="298"/>
      <c r="F9" s="298" t="s">
        <v>9</v>
      </c>
      <c r="G9" s="298" t="s">
        <v>44</v>
      </c>
      <c r="H9" s="298"/>
    </row>
    <row r="10" spans="1:8" ht="12.75" customHeight="1">
      <c r="A10" s="283"/>
      <c r="B10" s="284"/>
      <c r="C10" s="298"/>
      <c r="D10" s="298"/>
      <c r="E10" s="298"/>
      <c r="F10" s="298"/>
      <c r="G10" s="298"/>
      <c r="H10" s="298"/>
    </row>
    <row r="11" spans="1:8" ht="12.75" customHeight="1">
      <c r="A11" s="283"/>
      <c r="B11" s="284"/>
      <c r="C11" s="298"/>
      <c r="D11" s="298"/>
      <c r="E11" s="298"/>
      <c r="F11" s="298"/>
      <c r="G11" s="298"/>
      <c r="H11" s="298"/>
    </row>
    <row r="12" spans="1:8" ht="31.5" customHeight="1">
      <c r="A12" s="283"/>
      <c r="B12" s="284"/>
      <c r="C12" s="298"/>
      <c r="D12" s="298" t="s">
        <v>137</v>
      </c>
      <c r="E12" s="298" t="s">
        <v>138</v>
      </c>
      <c r="F12" s="298"/>
      <c r="G12" s="298" t="s">
        <v>139</v>
      </c>
      <c r="H12" s="320" t="s">
        <v>140</v>
      </c>
    </row>
    <row r="13" spans="1:8" ht="12.75">
      <c r="A13" s="285"/>
      <c r="B13" s="286"/>
      <c r="C13" s="298"/>
      <c r="D13" s="298"/>
      <c r="E13" s="298"/>
      <c r="F13" s="298"/>
      <c r="G13" s="298"/>
      <c r="H13" s="320"/>
    </row>
    <row r="14" spans="1:8" ht="12.75">
      <c r="A14" s="298" t="s">
        <v>40</v>
      </c>
      <c r="B14" s="298"/>
      <c r="C14" s="44">
        <v>1</v>
      </c>
      <c r="D14" s="44">
        <v>2</v>
      </c>
      <c r="E14" s="44">
        <v>3</v>
      </c>
      <c r="F14" s="44">
        <v>4</v>
      </c>
      <c r="G14" s="44">
        <v>5</v>
      </c>
      <c r="H14" s="44">
        <v>6</v>
      </c>
    </row>
    <row r="15" spans="1:8" ht="15.75">
      <c r="A15" s="314" t="s">
        <v>97</v>
      </c>
      <c r="B15" s="314"/>
      <c r="C15" s="196">
        <f aca="true" t="shared" si="0" ref="C15:H15">C16+C37</f>
        <v>84871</v>
      </c>
      <c r="D15" s="196">
        <f t="shared" si="0"/>
        <v>60889</v>
      </c>
      <c r="E15" s="196">
        <f t="shared" si="0"/>
        <v>23982</v>
      </c>
      <c r="F15" s="196">
        <f t="shared" si="0"/>
        <v>5651</v>
      </c>
      <c r="G15" s="196">
        <f t="shared" si="0"/>
        <v>4580</v>
      </c>
      <c r="H15" s="196">
        <f t="shared" si="0"/>
        <v>1071</v>
      </c>
    </row>
    <row r="16" spans="1:8" ht="15.75">
      <c r="A16" s="276" t="s">
        <v>87</v>
      </c>
      <c r="B16" s="277"/>
      <c r="C16" s="197">
        <f aca="true" t="shared" si="1" ref="C16:H16">SUM(C17:C36)</f>
        <v>3868</v>
      </c>
      <c r="D16" s="197">
        <f t="shared" si="1"/>
        <v>3225</v>
      </c>
      <c r="E16" s="197">
        <f t="shared" si="1"/>
        <v>643</v>
      </c>
      <c r="F16" s="197">
        <f t="shared" si="1"/>
        <v>66</v>
      </c>
      <c r="G16" s="197">
        <f t="shared" si="1"/>
        <v>45</v>
      </c>
      <c r="H16" s="197">
        <f t="shared" si="1"/>
        <v>21</v>
      </c>
    </row>
    <row r="17" spans="1:8" ht="15.75">
      <c r="A17" s="87">
        <v>1</v>
      </c>
      <c r="B17" s="136" t="s">
        <v>228</v>
      </c>
      <c r="C17" s="65">
        <f>D17+E17</f>
        <v>72</v>
      </c>
      <c r="D17" s="65">
        <v>60</v>
      </c>
      <c r="E17" s="65">
        <v>12</v>
      </c>
      <c r="F17" s="65">
        <f>G17+H17</f>
        <v>12</v>
      </c>
      <c r="G17" s="155">
        <v>12</v>
      </c>
      <c r="H17" s="257">
        <v>0</v>
      </c>
    </row>
    <row r="18" spans="1:8" ht="15.75">
      <c r="A18" s="87">
        <v>2</v>
      </c>
      <c r="B18" s="67" t="s">
        <v>192</v>
      </c>
      <c r="C18" s="65"/>
      <c r="D18" s="65"/>
      <c r="E18" s="65"/>
      <c r="F18" s="65"/>
      <c r="G18" s="65"/>
      <c r="H18" s="65"/>
    </row>
    <row r="19" spans="1:8" ht="15.75">
      <c r="A19" s="87">
        <v>3</v>
      </c>
      <c r="B19" s="67" t="s">
        <v>193</v>
      </c>
      <c r="C19" s="65"/>
      <c r="D19" s="65"/>
      <c r="E19" s="65"/>
      <c r="F19" s="65"/>
      <c r="G19" s="65"/>
      <c r="H19" s="65"/>
    </row>
    <row r="20" spans="1:8" ht="15.75">
      <c r="A20" s="87">
        <v>4</v>
      </c>
      <c r="B20" s="67" t="s">
        <v>194</v>
      </c>
      <c r="C20" s="65">
        <f>D20+E20</f>
        <v>82</v>
      </c>
      <c r="D20" s="65">
        <v>82</v>
      </c>
      <c r="E20" s="257">
        <v>0</v>
      </c>
      <c r="F20" s="257">
        <v>0</v>
      </c>
      <c r="G20" s="257">
        <v>0</v>
      </c>
      <c r="H20" s="257">
        <v>0</v>
      </c>
    </row>
    <row r="21" spans="1:8" ht="15.75">
      <c r="A21" s="87">
        <v>5</v>
      </c>
      <c r="B21" s="67" t="s">
        <v>195</v>
      </c>
      <c r="C21" s="65"/>
      <c r="D21" s="65"/>
      <c r="E21" s="65"/>
      <c r="F21" s="65"/>
      <c r="G21" s="65"/>
      <c r="H21" s="65"/>
    </row>
    <row r="22" spans="1:8" ht="15.75">
      <c r="A22" s="87">
        <v>6</v>
      </c>
      <c r="B22" s="67" t="s">
        <v>196</v>
      </c>
      <c r="C22" s="65"/>
      <c r="D22" s="65"/>
      <c r="E22" s="65"/>
      <c r="F22" s="65"/>
      <c r="G22" s="65"/>
      <c r="H22" s="65"/>
    </row>
    <row r="23" spans="1:8" ht="15.75">
      <c r="A23" s="87">
        <v>7</v>
      </c>
      <c r="B23" s="67" t="s">
        <v>197</v>
      </c>
      <c r="C23" s="65"/>
      <c r="D23" s="65"/>
      <c r="E23" s="65"/>
      <c r="F23" s="65"/>
      <c r="G23" s="65"/>
      <c r="H23" s="65"/>
    </row>
    <row r="24" spans="1:8" ht="15.75">
      <c r="A24" s="87">
        <v>8</v>
      </c>
      <c r="B24" s="67" t="s">
        <v>198</v>
      </c>
      <c r="C24" s="65"/>
      <c r="D24" s="65"/>
      <c r="E24" s="65"/>
      <c r="F24" s="65"/>
      <c r="G24" s="65"/>
      <c r="H24" s="65"/>
    </row>
    <row r="25" spans="1:8" ht="15.75">
      <c r="A25" s="87">
        <v>9</v>
      </c>
      <c r="B25" s="67" t="s">
        <v>199</v>
      </c>
      <c r="C25" s="65"/>
      <c r="D25" s="65"/>
      <c r="E25" s="65"/>
      <c r="F25" s="65"/>
      <c r="G25" s="65"/>
      <c r="H25" s="65"/>
    </row>
    <row r="26" spans="1:8" ht="31.5">
      <c r="A26" s="87">
        <v>10</v>
      </c>
      <c r="B26" s="67" t="s">
        <v>200</v>
      </c>
      <c r="C26" s="65"/>
      <c r="D26" s="65"/>
      <c r="E26" s="65"/>
      <c r="F26" s="65"/>
      <c r="G26" s="65"/>
      <c r="H26" s="65"/>
    </row>
    <row r="27" spans="1:9" ht="15.75">
      <c r="A27" s="87">
        <v>11</v>
      </c>
      <c r="B27" s="137" t="s">
        <v>230</v>
      </c>
      <c r="C27" s="65">
        <f>D27+E27</f>
        <v>2543</v>
      </c>
      <c r="D27" s="65">
        <v>2324</v>
      </c>
      <c r="E27" s="65">
        <f>166+53</f>
        <v>219</v>
      </c>
      <c r="F27" s="65">
        <f>G27+H27</f>
        <v>40</v>
      </c>
      <c r="G27" s="156">
        <v>20</v>
      </c>
      <c r="H27" s="157">
        <v>20</v>
      </c>
      <c r="I27" s="177" t="s">
        <v>284</v>
      </c>
    </row>
    <row r="28" spans="1:8" ht="15.75">
      <c r="A28" s="87">
        <v>12</v>
      </c>
      <c r="B28" s="67" t="s">
        <v>184</v>
      </c>
      <c r="C28" s="65">
        <f>D28+E28</f>
        <v>365</v>
      </c>
      <c r="D28" s="65">
        <v>305</v>
      </c>
      <c r="E28" s="65">
        <v>60</v>
      </c>
      <c r="F28" s="257">
        <v>0</v>
      </c>
      <c r="G28" s="257">
        <v>0</v>
      </c>
      <c r="H28" s="257">
        <v>0</v>
      </c>
    </row>
    <row r="29" spans="1:8" ht="15.75">
      <c r="A29" s="87">
        <v>13</v>
      </c>
      <c r="B29" s="67" t="s">
        <v>185</v>
      </c>
      <c r="C29" s="65"/>
      <c r="D29" s="65"/>
      <c r="E29" s="65"/>
      <c r="F29" s="65"/>
      <c r="G29" s="65"/>
      <c r="H29" s="65"/>
    </row>
    <row r="30" spans="1:8" ht="15.75">
      <c r="A30" s="87">
        <v>14</v>
      </c>
      <c r="B30" s="67" t="s">
        <v>186</v>
      </c>
      <c r="C30" s="65"/>
      <c r="D30" s="65"/>
      <c r="E30" s="65"/>
      <c r="F30" s="65"/>
      <c r="G30" s="65"/>
      <c r="H30" s="65"/>
    </row>
    <row r="31" spans="1:8" ht="15.75">
      <c r="A31" s="87">
        <v>15</v>
      </c>
      <c r="B31" s="67" t="s">
        <v>187</v>
      </c>
      <c r="C31" s="65">
        <f>D31+E31</f>
        <v>806</v>
      </c>
      <c r="D31" s="65">
        <v>454</v>
      </c>
      <c r="E31" s="65">
        <v>352</v>
      </c>
      <c r="F31" s="65">
        <f>G31+H31</f>
        <v>14</v>
      </c>
      <c r="G31" s="65">
        <v>13</v>
      </c>
      <c r="H31" s="65">
        <v>1</v>
      </c>
    </row>
    <row r="32" spans="1:8" ht="15.75">
      <c r="A32" s="87">
        <v>16</v>
      </c>
      <c r="B32" s="67" t="s">
        <v>188</v>
      </c>
      <c r="C32" s="65"/>
      <c r="D32" s="65"/>
      <c r="E32" s="65"/>
      <c r="F32" s="65"/>
      <c r="G32" s="65"/>
      <c r="H32" s="65"/>
    </row>
    <row r="33" spans="1:8" ht="15.75">
      <c r="A33" s="87">
        <v>17</v>
      </c>
      <c r="B33" s="136" t="s">
        <v>227</v>
      </c>
      <c r="C33" s="65"/>
      <c r="D33" s="65"/>
      <c r="E33" s="158"/>
      <c r="F33" s="65"/>
      <c r="G33" s="212"/>
      <c r="H33" s="212"/>
    </row>
    <row r="34" spans="1:8" ht="15.75">
      <c r="A34" s="87">
        <v>18</v>
      </c>
      <c r="B34" s="138" t="s">
        <v>189</v>
      </c>
      <c r="C34" s="65"/>
      <c r="D34" s="213"/>
      <c r="E34" s="213"/>
      <c r="F34" s="65"/>
      <c r="G34" s="65"/>
      <c r="H34" s="65"/>
    </row>
    <row r="35" spans="1:8" ht="15.75">
      <c r="A35" s="87">
        <v>19</v>
      </c>
      <c r="B35" s="138" t="s">
        <v>190</v>
      </c>
      <c r="C35" s="65"/>
      <c r="D35" s="65"/>
      <c r="E35" s="65"/>
      <c r="F35" s="65"/>
      <c r="G35" s="159"/>
      <c r="H35" s="160"/>
    </row>
    <row r="36" spans="1:8" ht="15.75">
      <c r="A36" s="87">
        <v>20</v>
      </c>
      <c r="B36" s="139" t="s">
        <v>191</v>
      </c>
      <c r="C36" s="65"/>
      <c r="D36" s="65"/>
      <c r="E36" s="65"/>
      <c r="F36" s="65"/>
      <c r="G36" s="159"/>
      <c r="H36" s="160"/>
    </row>
    <row r="37" spans="1:8" s="22" customFormat="1" ht="15.75">
      <c r="A37" s="276" t="s">
        <v>98</v>
      </c>
      <c r="B37" s="277"/>
      <c r="C37" s="197">
        <f aca="true" t="shared" si="2" ref="C37:H37">SUM(C38:C100)</f>
        <v>81003</v>
      </c>
      <c r="D37" s="197">
        <f t="shared" si="2"/>
        <v>57664</v>
      </c>
      <c r="E37" s="197">
        <f t="shared" si="2"/>
        <v>23339</v>
      </c>
      <c r="F37" s="197">
        <f t="shared" si="2"/>
        <v>5585</v>
      </c>
      <c r="G37" s="197">
        <f t="shared" si="2"/>
        <v>4535</v>
      </c>
      <c r="H37" s="197">
        <f t="shared" si="2"/>
        <v>1050</v>
      </c>
    </row>
    <row r="38" spans="1:8" ht="15.75">
      <c r="A38" s="79">
        <v>1</v>
      </c>
      <c r="B38" s="80" t="s">
        <v>167</v>
      </c>
      <c r="C38" s="122">
        <f>D38+E38</f>
        <v>2204</v>
      </c>
      <c r="D38" s="122">
        <v>1533</v>
      </c>
      <c r="E38" s="122">
        <v>671</v>
      </c>
      <c r="F38" s="122">
        <f>G38+H38</f>
        <v>350</v>
      </c>
      <c r="G38" s="161">
        <v>164</v>
      </c>
      <c r="H38" s="162">
        <v>186</v>
      </c>
    </row>
    <row r="39" spans="1:8" ht="15.75">
      <c r="A39" s="79">
        <v>2</v>
      </c>
      <c r="B39" s="80" t="s">
        <v>251</v>
      </c>
      <c r="C39" s="122">
        <f aca="true" t="shared" si="3" ref="C39:C100">D39+E39</f>
        <v>547</v>
      </c>
      <c r="D39" s="122">
        <v>333</v>
      </c>
      <c r="E39" s="122">
        <v>214</v>
      </c>
      <c r="F39" s="257">
        <v>0</v>
      </c>
      <c r="G39" s="257">
        <v>0</v>
      </c>
      <c r="H39" s="257">
        <v>0</v>
      </c>
    </row>
    <row r="40" spans="1:8" ht="15.75">
      <c r="A40" s="79">
        <v>3</v>
      </c>
      <c r="B40" s="80" t="s">
        <v>168</v>
      </c>
      <c r="C40" s="122">
        <f t="shared" si="3"/>
        <v>1226</v>
      </c>
      <c r="D40" s="122">
        <v>1138</v>
      </c>
      <c r="E40" s="122">
        <v>88</v>
      </c>
      <c r="F40" s="122">
        <f aca="true" t="shared" si="4" ref="F40:F100">G40+H40</f>
        <v>85</v>
      </c>
      <c r="G40" s="122">
        <v>74</v>
      </c>
      <c r="H40" s="122">
        <v>11</v>
      </c>
    </row>
    <row r="41" spans="1:8" ht="15.75">
      <c r="A41" s="79">
        <v>4</v>
      </c>
      <c r="B41" s="80" t="s">
        <v>169</v>
      </c>
      <c r="C41" s="122">
        <f t="shared" si="3"/>
        <v>671</v>
      </c>
      <c r="D41" s="122">
        <v>622</v>
      </c>
      <c r="E41" s="122">
        <v>49</v>
      </c>
      <c r="F41" s="122">
        <f t="shared" si="4"/>
        <v>21</v>
      </c>
      <c r="G41" s="122">
        <v>21</v>
      </c>
      <c r="H41" s="257">
        <v>0</v>
      </c>
    </row>
    <row r="42" spans="1:8" ht="15.75">
      <c r="A42" s="79">
        <v>5</v>
      </c>
      <c r="B42" s="80" t="s">
        <v>170</v>
      </c>
      <c r="C42" s="122">
        <f t="shared" si="3"/>
        <v>334</v>
      </c>
      <c r="D42" s="122">
        <v>229</v>
      </c>
      <c r="E42" s="122">
        <v>105</v>
      </c>
      <c r="F42" s="122">
        <f t="shared" si="4"/>
        <v>3</v>
      </c>
      <c r="G42" s="122">
        <v>3</v>
      </c>
      <c r="H42" s="257">
        <v>0</v>
      </c>
    </row>
    <row r="43" spans="1:8" ht="15.75">
      <c r="A43" s="79">
        <v>6</v>
      </c>
      <c r="B43" s="80" t="s">
        <v>171</v>
      </c>
      <c r="C43" s="122"/>
      <c r="D43" s="175"/>
      <c r="E43" s="175"/>
      <c r="F43" s="122"/>
      <c r="G43" s="176"/>
      <c r="H43" s="176"/>
    </row>
    <row r="44" spans="1:8" ht="15.75">
      <c r="A44" s="79">
        <v>7</v>
      </c>
      <c r="B44" s="80" t="s">
        <v>172</v>
      </c>
      <c r="C44" s="122">
        <f t="shared" si="3"/>
        <v>1849</v>
      </c>
      <c r="D44" s="122">
        <v>1108</v>
      </c>
      <c r="E44" s="122">
        <v>741</v>
      </c>
      <c r="F44" s="122">
        <f t="shared" si="4"/>
        <v>321</v>
      </c>
      <c r="G44" s="122">
        <v>321</v>
      </c>
      <c r="H44" s="257">
        <v>0</v>
      </c>
    </row>
    <row r="45" spans="1:8" ht="15.75">
      <c r="A45" s="79">
        <v>8</v>
      </c>
      <c r="B45" s="80" t="s">
        <v>173</v>
      </c>
      <c r="C45" s="122">
        <f t="shared" si="3"/>
        <v>842</v>
      </c>
      <c r="D45" s="122">
        <v>828</v>
      </c>
      <c r="E45" s="122">
        <v>14</v>
      </c>
      <c r="F45" s="122">
        <f t="shared" si="4"/>
        <v>3</v>
      </c>
      <c r="G45" s="161">
        <v>3</v>
      </c>
      <c r="H45" s="257">
        <v>0</v>
      </c>
    </row>
    <row r="46" spans="1:8" ht="15.75">
      <c r="A46" s="79">
        <v>9</v>
      </c>
      <c r="B46" s="80" t="s">
        <v>174</v>
      </c>
      <c r="C46" s="122">
        <f t="shared" si="3"/>
        <v>713</v>
      </c>
      <c r="D46" s="122">
        <v>595</v>
      </c>
      <c r="E46" s="122">
        <v>118</v>
      </c>
      <c r="F46" s="122">
        <f t="shared" si="4"/>
        <v>81</v>
      </c>
      <c r="G46" s="161">
        <v>80</v>
      </c>
      <c r="H46" s="162">
        <v>1</v>
      </c>
    </row>
    <row r="47" spans="1:8" ht="15.75">
      <c r="A47" s="79">
        <v>10</v>
      </c>
      <c r="B47" s="80" t="s">
        <v>175</v>
      </c>
      <c r="C47" s="122">
        <f t="shared" si="3"/>
        <v>1982</v>
      </c>
      <c r="D47" s="122">
        <v>1945</v>
      </c>
      <c r="E47" s="122">
        <v>37</v>
      </c>
      <c r="F47" s="122">
        <f t="shared" si="4"/>
        <v>5</v>
      </c>
      <c r="G47" s="161">
        <v>5</v>
      </c>
      <c r="H47" s="257">
        <v>0</v>
      </c>
    </row>
    <row r="48" spans="1:8" ht="15.75">
      <c r="A48" s="79">
        <v>11</v>
      </c>
      <c r="B48" s="80" t="s">
        <v>176</v>
      </c>
      <c r="C48" s="122">
        <f t="shared" si="3"/>
        <v>2977</v>
      </c>
      <c r="D48" s="122">
        <v>1772</v>
      </c>
      <c r="E48" s="122">
        <v>1205</v>
      </c>
      <c r="F48" s="122">
        <f t="shared" si="4"/>
        <v>231</v>
      </c>
      <c r="G48" s="161">
        <v>203</v>
      </c>
      <c r="H48" s="162">
        <v>28</v>
      </c>
    </row>
    <row r="49" spans="1:8" ht="15.75">
      <c r="A49" s="79">
        <v>12</v>
      </c>
      <c r="B49" s="80" t="s">
        <v>177</v>
      </c>
      <c r="C49" s="122">
        <f t="shared" si="3"/>
        <v>560</v>
      </c>
      <c r="D49" s="122">
        <v>378</v>
      </c>
      <c r="E49" s="122">
        <v>182</v>
      </c>
      <c r="F49" s="122">
        <f t="shared" si="4"/>
        <v>47</v>
      </c>
      <c r="G49" s="161">
        <v>32</v>
      </c>
      <c r="H49" s="162">
        <v>15</v>
      </c>
    </row>
    <row r="50" spans="1:8" ht="15.75">
      <c r="A50" s="79">
        <v>13</v>
      </c>
      <c r="B50" s="80" t="s">
        <v>178</v>
      </c>
      <c r="C50" s="122">
        <f t="shared" si="3"/>
        <v>1406</v>
      </c>
      <c r="D50" s="122">
        <v>860</v>
      </c>
      <c r="E50" s="122">
        <v>546</v>
      </c>
      <c r="F50" s="122">
        <f t="shared" si="4"/>
        <v>217</v>
      </c>
      <c r="G50" s="161">
        <v>214</v>
      </c>
      <c r="H50" s="162">
        <v>3</v>
      </c>
    </row>
    <row r="51" spans="1:8" ht="15.75">
      <c r="A51" s="79">
        <v>14</v>
      </c>
      <c r="B51" s="80" t="s">
        <v>179</v>
      </c>
      <c r="C51" s="122">
        <f t="shared" si="3"/>
        <v>52</v>
      </c>
      <c r="D51" s="122">
        <v>52</v>
      </c>
      <c r="E51" s="257">
        <v>0</v>
      </c>
      <c r="F51" s="257">
        <v>0</v>
      </c>
      <c r="G51" s="257">
        <v>0</v>
      </c>
      <c r="H51" s="257">
        <v>0</v>
      </c>
    </row>
    <row r="52" spans="1:8" ht="15.75">
      <c r="A52" s="79">
        <v>15</v>
      </c>
      <c r="B52" s="80" t="s">
        <v>180</v>
      </c>
      <c r="C52" s="122">
        <f t="shared" si="3"/>
        <v>473</v>
      </c>
      <c r="D52" s="122">
        <v>336</v>
      </c>
      <c r="E52" s="122">
        <v>137</v>
      </c>
      <c r="F52" s="122">
        <f t="shared" si="4"/>
        <v>30</v>
      </c>
      <c r="G52" s="161">
        <v>26</v>
      </c>
      <c r="H52" s="162">
        <v>4</v>
      </c>
    </row>
    <row r="53" spans="1:8" ht="15.75">
      <c r="A53" s="79">
        <v>16</v>
      </c>
      <c r="B53" s="80" t="s">
        <v>181</v>
      </c>
      <c r="C53" s="122">
        <f t="shared" si="3"/>
        <v>713</v>
      </c>
      <c r="D53" s="122">
        <v>604</v>
      </c>
      <c r="E53" s="122">
        <v>109</v>
      </c>
      <c r="F53" s="122">
        <f t="shared" si="4"/>
        <v>118</v>
      </c>
      <c r="G53" s="161">
        <v>118</v>
      </c>
      <c r="H53" s="257">
        <v>0</v>
      </c>
    </row>
    <row r="54" spans="1:8" ht="15.75">
      <c r="A54" s="79">
        <v>17</v>
      </c>
      <c r="B54" s="80" t="s">
        <v>182</v>
      </c>
      <c r="C54" s="122">
        <f t="shared" si="3"/>
        <v>583</v>
      </c>
      <c r="D54" s="122">
        <v>515</v>
      </c>
      <c r="E54" s="122">
        <v>68</v>
      </c>
      <c r="F54" s="122">
        <f t="shared" si="4"/>
        <v>74</v>
      </c>
      <c r="G54" s="161">
        <v>68</v>
      </c>
      <c r="H54" s="162">
        <v>6</v>
      </c>
    </row>
    <row r="55" spans="1:8" ht="15.75">
      <c r="A55" s="79">
        <v>18</v>
      </c>
      <c r="B55" s="80" t="s">
        <v>183</v>
      </c>
      <c r="C55" s="122">
        <f t="shared" si="3"/>
        <v>494</v>
      </c>
      <c r="D55" s="122">
        <v>380</v>
      </c>
      <c r="E55" s="122">
        <v>114</v>
      </c>
      <c r="F55" s="122">
        <f t="shared" si="4"/>
        <v>28</v>
      </c>
      <c r="G55" s="161">
        <v>25</v>
      </c>
      <c r="H55" s="162">
        <v>3</v>
      </c>
    </row>
    <row r="56" spans="1:8" ht="15.75">
      <c r="A56" s="79">
        <v>19</v>
      </c>
      <c r="B56" s="81" t="s">
        <v>201</v>
      </c>
      <c r="C56" s="122">
        <f t="shared" si="3"/>
        <v>1357</v>
      </c>
      <c r="D56" s="122">
        <v>1212</v>
      </c>
      <c r="E56" s="122">
        <v>145</v>
      </c>
      <c r="F56" s="122">
        <f t="shared" si="4"/>
        <v>9</v>
      </c>
      <c r="G56" s="122">
        <v>5</v>
      </c>
      <c r="H56" s="122">
        <v>4</v>
      </c>
    </row>
    <row r="57" spans="1:8" ht="15.75">
      <c r="A57" s="79">
        <v>20</v>
      </c>
      <c r="B57" s="81" t="s">
        <v>202</v>
      </c>
      <c r="C57" s="122">
        <f t="shared" si="3"/>
        <v>845</v>
      </c>
      <c r="D57" s="122">
        <v>782</v>
      </c>
      <c r="E57" s="122">
        <v>63</v>
      </c>
      <c r="F57" s="122">
        <f t="shared" si="4"/>
        <v>89</v>
      </c>
      <c r="G57" s="122">
        <v>7</v>
      </c>
      <c r="H57" s="122">
        <v>82</v>
      </c>
    </row>
    <row r="58" spans="1:10" ht="15.75">
      <c r="A58" s="79">
        <v>21</v>
      </c>
      <c r="B58" s="81" t="s">
        <v>203</v>
      </c>
      <c r="C58" s="122">
        <f t="shared" si="3"/>
        <v>909</v>
      </c>
      <c r="D58" s="122">
        <v>879</v>
      </c>
      <c r="E58" s="122">
        <v>30</v>
      </c>
      <c r="F58" s="122">
        <f t="shared" si="4"/>
        <v>22</v>
      </c>
      <c r="G58" s="122">
        <v>22</v>
      </c>
      <c r="H58" s="122"/>
      <c r="J58" s="214"/>
    </row>
    <row r="59" spans="1:8" ht="15.75">
      <c r="A59" s="79">
        <v>22</v>
      </c>
      <c r="B59" s="81" t="s">
        <v>204</v>
      </c>
      <c r="C59" s="122">
        <f t="shared" si="3"/>
        <v>499</v>
      </c>
      <c r="D59" s="122">
        <v>459</v>
      </c>
      <c r="E59" s="122">
        <v>40</v>
      </c>
      <c r="F59" s="122">
        <f t="shared" si="4"/>
        <v>47</v>
      </c>
      <c r="G59" s="122">
        <v>16</v>
      </c>
      <c r="H59" s="122">
        <v>31</v>
      </c>
    </row>
    <row r="60" spans="1:8" ht="15.75">
      <c r="A60" s="79">
        <v>23</v>
      </c>
      <c r="B60" s="81" t="s">
        <v>205</v>
      </c>
      <c r="C60" s="122">
        <f t="shared" si="3"/>
        <v>342</v>
      </c>
      <c r="D60" s="122">
        <v>291</v>
      </c>
      <c r="E60" s="122">
        <v>51</v>
      </c>
      <c r="F60" s="122">
        <f t="shared" si="4"/>
        <v>41</v>
      </c>
      <c r="G60" s="122">
        <v>30</v>
      </c>
      <c r="H60" s="122">
        <v>11</v>
      </c>
    </row>
    <row r="61" spans="1:8" ht="15.75">
      <c r="A61" s="79">
        <v>24</v>
      </c>
      <c r="B61" s="81" t="s">
        <v>206</v>
      </c>
      <c r="C61" s="122">
        <f t="shared" si="3"/>
        <v>2804</v>
      </c>
      <c r="D61" s="122">
        <v>1764</v>
      </c>
      <c r="E61" s="122">
        <v>1040</v>
      </c>
      <c r="F61" s="122">
        <f t="shared" si="4"/>
        <v>182</v>
      </c>
      <c r="G61" s="122">
        <v>126</v>
      </c>
      <c r="H61" s="122">
        <v>56</v>
      </c>
    </row>
    <row r="62" spans="1:8" ht="15.75">
      <c r="A62" s="79">
        <v>25</v>
      </c>
      <c r="B62" s="81" t="s">
        <v>207</v>
      </c>
      <c r="C62" s="122">
        <f t="shared" si="3"/>
        <v>2034</v>
      </c>
      <c r="D62" s="122">
        <v>1642</v>
      </c>
      <c r="E62" s="122">
        <v>392</v>
      </c>
      <c r="F62" s="122">
        <f t="shared" si="4"/>
        <v>157</v>
      </c>
      <c r="G62" s="122">
        <v>150</v>
      </c>
      <c r="H62" s="122">
        <v>7</v>
      </c>
    </row>
    <row r="63" spans="1:8" ht="15.75">
      <c r="A63" s="79">
        <v>26</v>
      </c>
      <c r="B63" s="81" t="s">
        <v>208</v>
      </c>
      <c r="C63" s="122">
        <f t="shared" si="3"/>
        <v>506</v>
      </c>
      <c r="D63" s="122">
        <v>466</v>
      </c>
      <c r="E63" s="122">
        <v>40</v>
      </c>
      <c r="F63" s="122">
        <f t="shared" si="4"/>
        <v>40</v>
      </c>
      <c r="G63" s="122">
        <v>22</v>
      </c>
      <c r="H63" s="122">
        <v>18</v>
      </c>
    </row>
    <row r="64" spans="1:8" ht="15.75">
      <c r="A64" s="79">
        <v>27</v>
      </c>
      <c r="B64" s="81" t="s">
        <v>209</v>
      </c>
      <c r="C64" s="122">
        <f t="shared" si="3"/>
        <v>213</v>
      </c>
      <c r="D64" s="122">
        <v>167</v>
      </c>
      <c r="E64" s="122">
        <v>46</v>
      </c>
      <c r="F64" s="122">
        <f t="shared" si="4"/>
        <v>80</v>
      </c>
      <c r="G64" s="122">
        <v>80</v>
      </c>
      <c r="H64" s="257">
        <v>0</v>
      </c>
    </row>
    <row r="65" spans="1:8" ht="15.75">
      <c r="A65" s="79">
        <v>28</v>
      </c>
      <c r="B65" s="81" t="s">
        <v>210</v>
      </c>
      <c r="C65" s="122">
        <f t="shared" si="3"/>
        <v>149</v>
      </c>
      <c r="D65" s="122">
        <v>113</v>
      </c>
      <c r="E65" s="122">
        <v>36</v>
      </c>
      <c r="F65" s="122">
        <f t="shared" si="4"/>
        <v>6</v>
      </c>
      <c r="G65" s="122">
        <v>6</v>
      </c>
      <c r="H65" s="257">
        <v>0</v>
      </c>
    </row>
    <row r="66" spans="1:8" ht="15.75">
      <c r="A66" s="79">
        <v>29</v>
      </c>
      <c r="B66" s="81" t="s">
        <v>211</v>
      </c>
      <c r="C66" s="122">
        <f t="shared" si="3"/>
        <v>725</v>
      </c>
      <c r="D66" s="122">
        <v>495</v>
      </c>
      <c r="E66" s="122">
        <v>230</v>
      </c>
      <c r="F66" s="122">
        <f t="shared" si="4"/>
        <v>108</v>
      </c>
      <c r="G66" s="122">
        <v>107</v>
      </c>
      <c r="H66" s="122">
        <v>1</v>
      </c>
    </row>
    <row r="67" spans="1:8" ht="15.75">
      <c r="A67" s="79">
        <v>30</v>
      </c>
      <c r="B67" s="81" t="s">
        <v>212</v>
      </c>
      <c r="C67" s="122">
        <f t="shared" si="3"/>
        <v>1445</v>
      </c>
      <c r="D67" s="122">
        <v>929</v>
      </c>
      <c r="E67" s="122">
        <v>516</v>
      </c>
      <c r="F67" s="122">
        <f t="shared" si="4"/>
        <v>58</v>
      </c>
      <c r="G67" s="122">
        <v>52</v>
      </c>
      <c r="H67" s="122">
        <v>6</v>
      </c>
    </row>
    <row r="68" spans="1:8" ht="15.75">
      <c r="A68" s="79">
        <v>31</v>
      </c>
      <c r="B68" s="81" t="s">
        <v>213</v>
      </c>
      <c r="C68" s="122">
        <f t="shared" si="3"/>
        <v>187</v>
      </c>
      <c r="D68" s="122">
        <v>187</v>
      </c>
      <c r="E68" s="257">
        <v>0</v>
      </c>
      <c r="F68" s="257">
        <v>0</v>
      </c>
      <c r="G68" s="257">
        <v>0</v>
      </c>
      <c r="H68" s="257">
        <v>0</v>
      </c>
    </row>
    <row r="69" spans="1:8" ht="15.75">
      <c r="A69" s="79">
        <v>32</v>
      </c>
      <c r="B69" s="81" t="s">
        <v>214</v>
      </c>
      <c r="C69" s="122">
        <f t="shared" si="3"/>
        <v>887</v>
      </c>
      <c r="D69" s="122">
        <v>721</v>
      </c>
      <c r="E69" s="122">
        <v>166</v>
      </c>
      <c r="F69" s="122">
        <f t="shared" si="4"/>
        <v>21</v>
      </c>
      <c r="G69" s="122">
        <v>21</v>
      </c>
      <c r="H69" s="257">
        <v>0</v>
      </c>
    </row>
    <row r="70" spans="1:8" ht="15.75">
      <c r="A70" s="79">
        <v>33</v>
      </c>
      <c r="B70" s="81" t="s">
        <v>215</v>
      </c>
      <c r="C70" s="122">
        <f t="shared" si="3"/>
        <v>554</v>
      </c>
      <c r="D70" s="122">
        <v>548</v>
      </c>
      <c r="E70" s="122">
        <v>6</v>
      </c>
      <c r="F70" s="122">
        <f t="shared" si="4"/>
        <v>4</v>
      </c>
      <c r="G70" s="122">
        <v>4</v>
      </c>
      <c r="H70" s="257">
        <v>0</v>
      </c>
    </row>
    <row r="71" spans="1:8" ht="15.75">
      <c r="A71" s="79">
        <v>34</v>
      </c>
      <c r="B71" s="81" t="s">
        <v>216</v>
      </c>
      <c r="C71" s="122">
        <f t="shared" si="3"/>
        <v>451</v>
      </c>
      <c r="D71" s="122">
        <v>391</v>
      </c>
      <c r="E71" s="122">
        <v>60</v>
      </c>
      <c r="F71" s="122">
        <f t="shared" si="4"/>
        <v>24</v>
      </c>
      <c r="G71" s="122">
        <v>21</v>
      </c>
      <c r="H71" s="122">
        <v>3</v>
      </c>
    </row>
    <row r="72" spans="1:8" ht="15.75">
      <c r="A72" s="79">
        <v>35</v>
      </c>
      <c r="B72" s="81" t="s">
        <v>217</v>
      </c>
      <c r="C72" s="122">
        <f t="shared" si="3"/>
        <v>1649</v>
      </c>
      <c r="D72" s="122">
        <v>1440</v>
      </c>
      <c r="E72" s="122">
        <v>209</v>
      </c>
      <c r="F72" s="122">
        <f t="shared" si="4"/>
        <v>132</v>
      </c>
      <c r="G72" s="122">
        <v>90</v>
      </c>
      <c r="H72" s="122">
        <v>42</v>
      </c>
    </row>
    <row r="73" spans="1:8" ht="15.75">
      <c r="A73" s="79">
        <v>36</v>
      </c>
      <c r="B73" s="82" t="s">
        <v>218</v>
      </c>
      <c r="C73" s="122">
        <f t="shared" si="3"/>
        <v>1113</v>
      </c>
      <c r="D73" s="122">
        <v>855</v>
      </c>
      <c r="E73" s="122">
        <v>258</v>
      </c>
      <c r="F73" s="122">
        <f t="shared" si="4"/>
        <v>126</v>
      </c>
      <c r="G73" s="68">
        <v>79</v>
      </c>
      <c r="H73" s="132">
        <v>47</v>
      </c>
    </row>
    <row r="74" spans="1:8" ht="15.75">
      <c r="A74" s="79">
        <v>37</v>
      </c>
      <c r="B74" s="82" t="s">
        <v>219</v>
      </c>
      <c r="C74" s="122">
        <f t="shared" si="3"/>
        <v>221</v>
      </c>
      <c r="D74" s="122">
        <f>96+99</f>
        <v>195</v>
      </c>
      <c r="E74" s="122">
        <f>2+24</f>
        <v>26</v>
      </c>
      <c r="F74" s="122">
        <f t="shared" si="4"/>
        <v>20</v>
      </c>
      <c r="G74" s="68">
        <f>2+16</f>
        <v>18</v>
      </c>
      <c r="H74" s="132">
        <f>1+1</f>
        <v>2</v>
      </c>
    </row>
    <row r="75" spans="1:8" ht="15.75">
      <c r="A75" s="79">
        <v>38</v>
      </c>
      <c r="B75" s="82" t="s">
        <v>220</v>
      </c>
      <c r="C75" s="122">
        <f t="shared" si="3"/>
        <v>1158</v>
      </c>
      <c r="D75" s="122">
        <v>860</v>
      </c>
      <c r="E75" s="122">
        <v>298</v>
      </c>
      <c r="F75" s="122">
        <f t="shared" si="4"/>
        <v>54</v>
      </c>
      <c r="G75" s="68">
        <v>47</v>
      </c>
      <c r="H75" s="132">
        <v>7</v>
      </c>
    </row>
    <row r="76" spans="1:8" ht="15.75">
      <c r="A76" s="79">
        <v>39</v>
      </c>
      <c r="B76" s="82" t="s">
        <v>221</v>
      </c>
      <c r="C76" s="122">
        <f t="shared" si="3"/>
        <v>261</v>
      </c>
      <c r="D76" s="122">
        <v>261</v>
      </c>
      <c r="E76" s="122"/>
      <c r="F76" s="257">
        <v>0</v>
      </c>
      <c r="G76" s="68"/>
      <c r="H76" s="132"/>
    </row>
    <row r="77" spans="1:8" ht="15.75">
      <c r="A77" s="79">
        <v>40</v>
      </c>
      <c r="B77" s="82" t="s">
        <v>222</v>
      </c>
      <c r="C77" s="122">
        <f t="shared" si="3"/>
        <v>11958</v>
      </c>
      <c r="D77" s="122">
        <v>8737</v>
      </c>
      <c r="E77" s="122">
        <v>3221</v>
      </c>
      <c r="F77" s="122">
        <f t="shared" si="4"/>
        <v>891</v>
      </c>
      <c r="G77" s="68">
        <v>558</v>
      </c>
      <c r="H77" s="132">
        <v>333</v>
      </c>
    </row>
    <row r="78" spans="1:8" ht="15.75">
      <c r="A78" s="79">
        <v>41</v>
      </c>
      <c r="B78" s="82" t="s">
        <v>223</v>
      </c>
      <c r="C78" s="122">
        <f t="shared" si="3"/>
        <v>1051</v>
      </c>
      <c r="D78" s="122">
        <v>830</v>
      </c>
      <c r="E78" s="122">
        <v>221</v>
      </c>
      <c r="F78" s="122">
        <f t="shared" si="4"/>
        <v>25</v>
      </c>
      <c r="G78" s="68">
        <v>8</v>
      </c>
      <c r="H78" s="132">
        <v>17</v>
      </c>
    </row>
    <row r="79" spans="1:8" ht="15.75">
      <c r="A79" s="79">
        <v>42</v>
      </c>
      <c r="B79" s="82" t="s">
        <v>224</v>
      </c>
      <c r="C79" s="122">
        <f t="shared" si="3"/>
        <v>610</v>
      </c>
      <c r="D79" s="122">
        <v>487</v>
      </c>
      <c r="E79" s="122">
        <v>123</v>
      </c>
      <c r="F79" s="122">
        <f t="shared" si="4"/>
        <v>6</v>
      </c>
      <c r="G79" s="68"/>
      <c r="H79" s="132">
        <v>6</v>
      </c>
    </row>
    <row r="80" spans="1:8" ht="15.75">
      <c r="A80" s="79">
        <v>43</v>
      </c>
      <c r="B80" s="82" t="s">
        <v>225</v>
      </c>
      <c r="C80" s="122">
        <f t="shared" si="3"/>
        <v>979</v>
      </c>
      <c r="D80" s="122">
        <v>888</v>
      </c>
      <c r="E80" s="122">
        <v>91</v>
      </c>
      <c r="F80" s="122">
        <f t="shared" si="4"/>
        <v>15</v>
      </c>
      <c r="G80" s="68">
        <v>9</v>
      </c>
      <c r="H80" s="132">
        <v>6</v>
      </c>
    </row>
    <row r="81" spans="1:8" ht="15.75">
      <c r="A81" s="79">
        <v>44</v>
      </c>
      <c r="B81" s="82" t="s">
        <v>226</v>
      </c>
      <c r="C81" s="122">
        <f t="shared" si="3"/>
        <v>425</v>
      </c>
      <c r="D81" s="122">
        <v>406</v>
      </c>
      <c r="E81" s="163">
        <v>19</v>
      </c>
      <c r="F81" s="122">
        <f t="shared" si="4"/>
        <v>22</v>
      </c>
      <c r="G81" s="68">
        <v>16</v>
      </c>
      <c r="H81" s="132">
        <v>6</v>
      </c>
    </row>
    <row r="82" spans="1:8" s="215" customFormat="1" ht="15.75">
      <c r="A82" s="79">
        <v>45</v>
      </c>
      <c r="B82" s="83" t="s">
        <v>231</v>
      </c>
      <c r="C82" s="122">
        <f t="shared" si="3"/>
        <v>3762</v>
      </c>
      <c r="D82" s="122">
        <v>1904</v>
      </c>
      <c r="E82" s="122">
        <v>1858</v>
      </c>
      <c r="F82" s="122">
        <f t="shared" si="4"/>
        <v>67</v>
      </c>
      <c r="G82" s="68">
        <v>34</v>
      </c>
      <c r="H82" s="132">
        <v>33</v>
      </c>
    </row>
    <row r="83" spans="1:8" s="215" customFormat="1" ht="15.75">
      <c r="A83" s="79">
        <v>46</v>
      </c>
      <c r="B83" s="83" t="s">
        <v>232</v>
      </c>
      <c r="C83" s="122">
        <f t="shared" si="3"/>
        <v>436</v>
      </c>
      <c r="D83" s="122">
        <f>36+301</f>
        <v>337</v>
      </c>
      <c r="E83" s="122">
        <f>18+81</f>
        <v>99</v>
      </c>
      <c r="F83" s="122">
        <f t="shared" si="4"/>
        <v>29</v>
      </c>
      <c r="G83" s="68">
        <f>5+19</f>
        <v>24</v>
      </c>
      <c r="H83" s="132">
        <f>0+5</f>
        <v>5</v>
      </c>
    </row>
    <row r="84" spans="1:8" s="215" customFormat="1" ht="15.75">
      <c r="A84" s="79">
        <v>47</v>
      </c>
      <c r="B84" s="83" t="s">
        <v>233</v>
      </c>
      <c r="C84" s="122">
        <f t="shared" si="3"/>
        <v>634</v>
      </c>
      <c r="D84" s="122">
        <f>49+535</f>
        <v>584</v>
      </c>
      <c r="E84" s="122">
        <f>11+39</f>
        <v>50</v>
      </c>
      <c r="F84" s="122">
        <f t="shared" si="4"/>
        <v>61</v>
      </c>
      <c r="G84" s="68">
        <f>42+17</f>
        <v>59</v>
      </c>
      <c r="H84" s="132">
        <f>0+2</f>
        <v>2</v>
      </c>
    </row>
    <row r="85" spans="1:8" s="215" customFormat="1" ht="15.75">
      <c r="A85" s="79">
        <v>48</v>
      </c>
      <c r="B85" s="83" t="s">
        <v>234</v>
      </c>
      <c r="C85" s="122">
        <f t="shared" si="3"/>
        <v>972</v>
      </c>
      <c r="D85" s="122">
        <v>938</v>
      </c>
      <c r="E85" s="122">
        <v>34</v>
      </c>
      <c r="F85" s="257">
        <v>0</v>
      </c>
      <c r="G85" s="257">
        <v>0</v>
      </c>
      <c r="H85" s="257">
        <v>0</v>
      </c>
    </row>
    <row r="86" spans="1:8" s="215" customFormat="1" ht="15.75">
      <c r="A86" s="79">
        <v>49</v>
      </c>
      <c r="B86" s="83" t="s">
        <v>235</v>
      </c>
      <c r="C86" s="122">
        <f t="shared" si="3"/>
        <v>7650</v>
      </c>
      <c r="D86" s="122">
        <v>1121</v>
      </c>
      <c r="E86" s="122">
        <v>6529</v>
      </c>
      <c r="F86" s="122">
        <f t="shared" si="4"/>
        <v>53</v>
      </c>
      <c r="G86" s="68">
        <v>46</v>
      </c>
      <c r="H86" s="132">
        <v>7</v>
      </c>
    </row>
    <row r="87" spans="1:8" s="215" customFormat="1" ht="15.75">
      <c r="A87" s="79">
        <v>50</v>
      </c>
      <c r="B87" s="83" t="s">
        <v>236</v>
      </c>
      <c r="C87" s="122">
        <f t="shared" si="3"/>
        <v>1137</v>
      </c>
      <c r="D87" s="122">
        <v>766</v>
      </c>
      <c r="E87" s="122">
        <v>371</v>
      </c>
      <c r="F87" s="122">
        <f t="shared" si="4"/>
        <v>77</v>
      </c>
      <c r="G87" s="68">
        <v>68</v>
      </c>
      <c r="H87" s="132">
        <v>9</v>
      </c>
    </row>
    <row r="88" spans="1:8" s="215" customFormat="1" ht="15.75">
      <c r="A88" s="79">
        <v>51</v>
      </c>
      <c r="B88" s="84" t="s">
        <v>237</v>
      </c>
      <c r="C88" s="122">
        <f t="shared" si="3"/>
        <v>1424</v>
      </c>
      <c r="D88" s="122">
        <v>1075</v>
      </c>
      <c r="E88" s="122">
        <v>349</v>
      </c>
      <c r="F88" s="122">
        <f t="shared" si="4"/>
        <v>179</v>
      </c>
      <c r="G88" s="68">
        <v>178</v>
      </c>
      <c r="H88" s="132">
        <v>1</v>
      </c>
    </row>
    <row r="89" spans="1:8" s="215" customFormat="1" ht="15.75">
      <c r="A89" s="79">
        <v>52</v>
      </c>
      <c r="B89" s="84" t="s">
        <v>238</v>
      </c>
      <c r="C89" s="122">
        <f t="shared" si="3"/>
        <v>1288</v>
      </c>
      <c r="D89" s="122">
        <v>967</v>
      </c>
      <c r="E89" s="122">
        <v>321</v>
      </c>
      <c r="F89" s="122">
        <f t="shared" si="4"/>
        <v>123</v>
      </c>
      <c r="G89" s="68">
        <v>96</v>
      </c>
      <c r="H89" s="132">
        <v>27</v>
      </c>
    </row>
    <row r="90" spans="1:8" s="215" customFormat="1" ht="15.75">
      <c r="A90" s="79">
        <v>53</v>
      </c>
      <c r="B90" s="84" t="s">
        <v>239</v>
      </c>
      <c r="C90" s="122">
        <f t="shared" si="3"/>
        <v>1009</v>
      </c>
      <c r="D90" s="122">
        <v>914</v>
      </c>
      <c r="E90" s="122">
        <v>95</v>
      </c>
      <c r="F90" s="122">
        <f t="shared" si="4"/>
        <v>44</v>
      </c>
      <c r="G90" s="68">
        <v>41</v>
      </c>
      <c r="H90" s="132">
        <v>3</v>
      </c>
    </row>
    <row r="91" spans="1:8" s="215" customFormat="1" ht="15.75">
      <c r="A91" s="79">
        <v>54</v>
      </c>
      <c r="B91" s="84" t="s">
        <v>240</v>
      </c>
      <c r="C91" s="122">
        <f t="shared" si="3"/>
        <v>1182</v>
      </c>
      <c r="D91" s="122">
        <v>981</v>
      </c>
      <c r="E91" s="122">
        <v>201</v>
      </c>
      <c r="F91" s="122">
        <f t="shared" si="4"/>
        <v>15</v>
      </c>
      <c r="G91" s="68">
        <v>15</v>
      </c>
      <c r="H91" s="257">
        <v>0</v>
      </c>
    </row>
    <row r="92" spans="1:8" s="215" customFormat="1" ht="15.75">
      <c r="A92" s="79">
        <v>55</v>
      </c>
      <c r="B92" s="84" t="s">
        <v>241</v>
      </c>
      <c r="C92" s="122">
        <f t="shared" si="3"/>
        <v>723</v>
      </c>
      <c r="D92" s="122">
        <v>669</v>
      </c>
      <c r="E92" s="122">
        <v>54</v>
      </c>
      <c r="F92" s="122">
        <f t="shared" si="4"/>
        <v>13</v>
      </c>
      <c r="G92" s="68">
        <v>12</v>
      </c>
      <c r="H92" s="132">
        <v>1</v>
      </c>
    </row>
    <row r="93" spans="1:8" s="215" customFormat="1" ht="15.75">
      <c r="A93" s="79">
        <v>56</v>
      </c>
      <c r="B93" s="84" t="s">
        <v>242</v>
      </c>
      <c r="C93" s="122">
        <f t="shared" si="3"/>
        <v>1814</v>
      </c>
      <c r="D93" s="122">
        <v>1445</v>
      </c>
      <c r="E93" s="122">
        <v>369</v>
      </c>
      <c r="F93" s="122">
        <f t="shared" si="4"/>
        <v>540</v>
      </c>
      <c r="G93" s="68">
        <v>524</v>
      </c>
      <c r="H93" s="132">
        <v>16</v>
      </c>
    </row>
    <row r="94" spans="1:8" s="215" customFormat="1" ht="15.75">
      <c r="A94" s="79">
        <v>57</v>
      </c>
      <c r="B94" s="84" t="s">
        <v>243</v>
      </c>
      <c r="C94" s="122">
        <f t="shared" si="3"/>
        <v>1156</v>
      </c>
      <c r="D94" s="122">
        <v>984</v>
      </c>
      <c r="E94" s="122">
        <v>172</v>
      </c>
      <c r="F94" s="122">
        <f t="shared" si="4"/>
        <v>146</v>
      </c>
      <c r="G94" s="68">
        <v>146</v>
      </c>
      <c r="H94" s="257">
        <v>0</v>
      </c>
    </row>
    <row r="95" spans="1:8" s="215" customFormat="1" ht="15.75">
      <c r="A95" s="79">
        <v>58</v>
      </c>
      <c r="B95" s="84" t="s">
        <v>244</v>
      </c>
      <c r="C95" s="122">
        <f t="shared" si="3"/>
        <v>3030</v>
      </c>
      <c r="D95" s="122">
        <v>2562</v>
      </c>
      <c r="E95" s="122">
        <v>468</v>
      </c>
      <c r="F95" s="122">
        <f t="shared" si="4"/>
        <v>225</v>
      </c>
      <c r="G95" s="68">
        <v>222</v>
      </c>
      <c r="H95" s="132">
        <v>3</v>
      </c>
    </row>
    <row r="96" spans="1:8" s="215" customFormat="1" ht="15.75">
      <c r="A96" s="79">
        <v>59</v>
      </c>
      <c r="B96" s="84" t="s">
        <v>245</v>
      </c>
      <c r="C96" s="122">
        <f t="shared" si="3"/>
        <v>600</v>
      </c>
      <c r="D96" s="122">
        <v>441</v>
      </c>
      <c r="E96" s="122">
        <v>159</v>
      </c>
      <c r="F96" s="122">
        <f t="shared" si="4"/>
        <v>23</v>
      </c>
      <c r="G96" s="68">
        <v>23</v>
      </c>
      <c r="H96" s="257">
        <v>0</v>
      </c>
    </row>
    <row r="97" spans="1:8" s="215" customFormat="1" ht="15.75">
      <c r="A97" s="79">
        <v>60</v>
      </c>
      <c r="B97" s="84" t="s">
        <v>246</v>
      </c>
      <c r="C97" s="122">
        <f t="shared" si="3"/>
        <v>872</v>
      </c>
      <c r="D97" s="122">
        <v>518</v>
      </c>
      <c r="E97" s="122">
        <v>354</v>
      </c>
      <c r="F97" s="122">
        <f t="shared" si="4"/>
        <v>149</v>
      </c>
      <c r="G97" s="68">
        <v>149</v>
      </c>
      <c r="H97" s="257">
        <v>0</v>
      </c>
    </row>
    <row r="98" spans="1:8" s="215" customFormat="1" ht="15.75">
      <c r="A98" s="79">
        <v>61</v>
      </c>
      <c r="B98" s="84" t="s">
        <v>247</v>
      </c>
      <c r="C98" s="122">
        <f t="shared" si="3"/>
        <v>701</v>
      </c>
      <c r="D98" s="122">
        <v>699</v>
      </c>
      <c r="E98" s="122">
        <v>2</v>
      </c>
      <c r="F98" s="122">
        <f t="shared" si="4"/>
        <v>1</v>
      </c>
      <c r="G98" s="68">
        <v>1</v>
      </c>
      <c r="H98" s="257">
        <v>0</v>
      </c>
    </row>
    <row r="99" spans="1:8" s="215" customFormat="1" ht="19.5" customHeight="1">
      <c r="A99" s="79">
        <v>62</v>
      </c>
      <c r="B99" s="84" t="s">
        <v>248</v>
      </c>
      <c r="C99" s="122">
        <f t="shared" si="3"/>
        <v>697</v>
      </c>
      <c r="D99" s="122">
        <v>632</v>
      </c>
      <c r="E99" s="122">
        <v>65</v>
      </c>
      <c r="F99" s="122">
        <f t="shared" si="4"/>
        <v>38</v>
      </c>
      <c r="G99" s="68">
        <v>37</v>
      </c>
      <c r="H99" s="132">
        <v>1</v>
      </c>
    </row>
    <row r="100" spans="1:8" s="215" customFormat="1" ht="15.75">
      <c r="A100" s="79">
        <v>63</v>
      </c>
      <c r="B100" s="84" t="s">
        <v>249</v>
      </c>
      <c r="C100" s="122">
        <f t="shared" si="3"/>
        <v>958</v>
      </c>
      <c r="D100" s="122">
        <v>894</v>
      </c>
      <c r="E100" s="122">
        <v>64</v>
      </c>
      <c r="F100" s="122">
        <f t="shared" si="4"/>
        <v>9</v>
      </c>
      <c r="G100" s="68">
        <v>9</v>
      </c>
      <c r="H100" s="257">
        <v>0</v>
      </c>
    </row>
    <row r="101" spans="1:8" ht="12.75">
      <c r="A101" s="14"/>
      <c r="B101" s="61"/>
      <c r="C101" s="14"/>
      <c r="D101" s="14"/>
      <c r="E101" s="14"/>
      <c r="F101" s="14"/>
      <c r="G101" s="24"/>
      <c r="H101" s="5"/>
    </row>
    <row r="102" spans="1:8" s="22" customFormat="1" ht="12.75">
      <c r="A102" s="14"/>
      <c r="B102" s="61"/>
      <c r="C102" s="14"/>
      <c r="D102" s="14"/>
      <c r="E102" s="14"/>
      <c r="F102" s="14"/>
      <c r="G102" s="40"/>
      <c r="H102" s="6"/>
    </row>
    <row r="103" spans="1:19" s="102" customFormat="1" ht="12.75">
      <c r="A103" s="32"/>
      <c r="B103" s="32" t="s">
        <v>252</v>
      </c>
      <c r="C103" s="32" t="s">
        <v>303</v>
      </c>
      <c r="D103" s="32"/>
      <c r="E103" s="32"/>
      <c r="F103" s="32"/>
      <c r="G103" s="32"/>
      <c r="H103" s="32"/>
      <c r="I103" s="32"/>
      <c r="J103" s="32"/>
      <c r="K103" s="100"/>
      <c r="L103" s="32"/>
      <c r="M103" s="32"/>
      <c r="N103" s="32"/>
      <c r="O103" s="32"/>
      <c r="P103" s="32"/>
      <c r="Q103" s="32"/>
      <c r="R103" s="32"/>
      <c r="S103" s="101"/>
    </row>
    <row r="104" spans="1:19" s="102" customFormat="1" ht="12.75">
      <c r="A104" s="32"/>
      <c r="B104" s="32" t="s">
        <v>304</v>
      </c>
      <c r="C104" s="32" t="s">
        <v>305</v>
      </c>
      <c r="D104" s="32"/>
      <c r="E104" s="32"/>
      <c r="F104" s="32"/>
      <c r="G104" s="32"/>
      <c r="H104" s="32"/>
      <c r="I104" s="32"/>
      <c r="J104" s="32"/>
      <c r="K104" s="100"/>
      <c r="L104" s="32"/>
      <c r="M104" s="32"/>
      <c r="N104" s="32"/>
      <c r="O104" s="32"/>
      <c r="P104" s="32"/>
      <c r="Q104" s="32"/>
      <c r="R104" s="32"/>
      <c r="S104" s="101"/>
    </row>
    <row r="105" spans="1:18" s="99" customFormat="1" ht="12.75">
      <c r="A105" s="32"/>
      <c r="B105" s="32" t="s">
        <v>278</v>
      </c>
      <c r="C105" s="32" t="s">
        <v>306</v>
      </c>
      <c r="E105" s="32"/>
      <c r="F105" s="32"/>
      <c r="G105" s="32"/>
      <c r="H105" s="32"/>
      <c r="I105" s="32"/>
      <c r="J105" s="32"/>
      <c r="K105" s="100"/>
      <c r="L105" s="32"/>
      <c r="M105" s="32"/>
      <c r="N105" s="32"/>
      <c r="O105" s="32"/>
      <c r="P105" s="32"/>
      <c r="Q105" s="32"/>
      <c r="R105" s="32"/>
    </row>
    <row r="106" spans="1:8" s="22" customFormat="1" ht="12.75">
      <c r="A106" s="14"/>
      <c r="B106" s="61"/>
      <c r="C106" s="14"/>
      <c r="D106" s="14"/>
      <c r="E106" s="14"/>
      <c r="F106" s="14"/>
      <c r="G106" s="40"/>
      <c r="H106" s="6"/>
    </row>
    <row r="107" spans="1:8" s="22" customFormat="1" ht="12.75">
      <c r="A107" s="14"/>
      <c r="B107" s="61"/>
      <c r="C107" s="14"/>
      <c r="D107" s="14"/>
      <c r="E107" s="14"/>
      <c r="F107" s="14"/>
      <c r="G107" s="40"/>
      <c r="H107" s="6"/>
    </row>
    <row r="108" spans="1:8" s="22" customFormat="1" ht="12.75">
      <c r="A108" s="14"/>
      <c r="B108" s="61"/>
      <c r="C108" s="14"/>
      <c r="D108" s="14"/>
      <c r="E108" s="14"/>
      <c r="F108" s="14"/>
      <c r="G108" s="40"/>
      <c r="H108" s="6"/>
    </row>
    <row r="109" spans="1:8" s="22" customFormat="1" ht="12.75">
      <c r="A109" s="14"/>
      <c r="B109" s="61"/>
      <c r="C109" s="14"/>
      <c r="D109" s="14"/>
      <c r="E109" s="14"/>
      <c r="F109" s="14"/>
      <c r="G109" s="40"/>
      <c r="H109" s="6"/>
    </row>
    <row r="110" spans="1:8" s="22" customFormat="1" ht="12.75">
      <c r="A110" s="14"/>
      <c r="B110" s="61"/>
      <c r="C110" s="14"/>
      <c r="D110" s="14"/>
      <c r="E110" s="14"/>
      <c r="F110" s="14"/>
      <c r="G110" s="40"/>
      <c r="H110" s="6"/>
    </row>
    <row r="111" spans="1:8" s="22" customFormat="1" ht="12.75">
      <c r="A111" s="14"/>
      <c r="B111" s="61"/>
      <c r="C111" s="14"/>
      <c r="D111" s="14"/>
      <c r="E111" s="14"/>
      <c r="F111" s="14"/>
      <c r="G111" s="40"/>
      <c r="H111" s="6"/>
    </row>
    <row r="112" spans="1:8" s="22" customFormat="1" ht="12.75">
      <c r="A112" s="14"/>
      <c r="B112" s="61"/>
      <c r="C112" s="14"/>
      <c r="D112" s="14"/>
      <c r="E112" s="14"/>
      <c r="F112" s="14"/>
      <c r="G112" s="40"/>
      <c r="H112" s="6"/>
    </row>
    <row r="113" spans="1:8" s="22" customFormat="1" ht="12.75">
      <c r="A113" s="14"/>
      <c r="B113" s="61"/>
      <c r="C113" s="14"/>
      <c r="D113" s="14"/>
      <c r="E113" s="14"/>
      <c r="F113" s="14"/>
      <c r="G113" s="40"/>
      <c r="H113" s="6"/>
    </row>
    <row r="114" spans="1:8" s="7" customFormat="1" ht="12.75">
      <c r="A114" s="14"/>
      <c r="B114" s="61"/>
      <c r="C114" s="14"/>
      <c r="D114" s="14"/>
      <c r="E114" s="14"/>
      <c r="F114" s="14"/>
      <c r="G114" s="40"/>
      <c r="H114" s="6"/>
    </row>
    <row r="115" spans="1:8" s="22" customFormat="1" ht="12.75">
      <c r="A115" s="14"/>
      <c r="B115" s="61"/>
      <c r="C115" s="14"/>
      <c r="D115" s="14"/>
      <c r="E115" s="14"/>
      <c r="F115" s="14"/>
      <c r="G115" s="40"/>
      <c r="H115" s="6"/>
    </row>
    <row r="116" spans="1:8" s="22" customFormat="1" ht="12.75">
      <c r="A116" s="14"/>
      <c r="B116" s="61"/>
      <c r="C116" s="14"/>
      <c r="D116" s="14"/>
      <c r="E116" s="14"/>
      <c r="F116" s="14"/>
      <c r="G116" s="40"/>
      <c r="H116" s="6"/>
    </row>
    <row r="117" spans="1:8" s="207" customFormat="1" ht="12.75">
      <c r="A117" s="14"/>
      <c r="B117" s="61"/>
      <c r="C117" s="14"/>
      <c r="D117" s="14"/>
      <c r="E117" s="14"/>
      <c r="F117" s="14"/>
      <c r="G117" s="40"/>
      <c r="H117" s="40"/>
    </row>
    <row r="118" spans="1:8" s="7" customFormat="1" ht="12.75">
      <c r="A118" s="14"/>
      <c r="B118" s="61"/>
      <c r="C118" s="14"/>
      <c r="D118" s="14"/>
      <c r="E118" s="14"/>
      <c r="F118" s="14"/>
      <c r="G118" s="40"/>
      <c r="H118" s="8"/>
    </row>
    <row r="119" spans="1:8" s="22" customFormat="1" ht="12.75">
      <c r="A119" s="14"/>
      <c r="B119" s="61"/>
      <c r="C119" s="14"/>
      <c r="D119" s="14"/>
      <c r="E119" s="14"/>
      <c r="F119" s="14"/>
      <c r="G119" s="40"/>
      <c r="H119" s="6"/>
    </row>
    <row r="120" spans="1:8" s="22" customFormat="1" ht="12.75">
      <c r="A120" s="14"/>
      <c r="B120" s="61"/>
      <c r="C120" s="14"/>
      <c r="D120" s="14"/>
      <c r="E120" s="14"/>
      <c r="F120" s="14"/>
      <c r="G120" s="40"/>
      <c r="H120" s="6"/>
    </row>
    <row r="121" spans="1:8" s="7" customFormat="1" ht="12.75">
      <c r="A121" s="14"/>
      <c r="B121" s="61"/>
      <c r="C121" s="14"/>
      <c r="D121" s="14"/>
      <c r="E121" s="14"/>
      <c r="F121" s="14"/>
      <c r="G121" s="40"/>
      <c r="H121" s="8"/>
    </row>
    <row r="122" spans="1:8" s="22" customFormat="1" ht="12.75">
      <c r="A122" s="14"/>
      <c r="B122" s="61"/>
      <c r="C122" s="14"/>
      <c r="D122" s="14"/>
      <c r="E122" s="14"/>
      <c r="F122" s="14"/>
      <c r="G122" s="40"/>
      <c r="H122" s="6"/>
    </row>
    <row r="123" spans="1:8" s="22" customFormat="1" ht="12.75">
      <c r="A123" s="14"/>
      <c r="B123" s="61"/>
      <c r="C123" s="14"/>
      <c r="D123" s="14"/>
      <c r="E123" s="14"/>
      <c r="F123" s="14"/>
      <c r="G123" s="40"/>
      <c r="H123" s="6"/>
    </row>
    <row r="124" spans="1:8" s="22" customFormat="1" ht="12.75">
      <c r="A124" s="14"/>
      <c r="B124" s="61"/>
      <c r="C124" s="14"/>
      <c r="D124" s="14"/>
      <c r="E124" s="14"/>
      <c r="F124" s="14"/>
      <c r="G124" s="40"/>
      <c r="H124" s="6"/>
    </row>
    <row r="125" spans="1:8" s="22" customFormat="1" ht="12.75">
      <c r="A125" s="14"/>
      <c r="B125" s="61"/>
      <c r="C125" s="14"/>
      <c r="D125" s="14"/>
      <c r="E125" s="14"/>
      <c r="F125" s="14"/>
      <c r="G125" s="40"/>
      <c r="H125" s="6"/>
    </row>
    <row r="126" spans="1:8" s="7" customFormat="1" ht="12.75">
      <c r="A126" s="14"/>
      <c r="B126" s="61"/>
      <c r="C126" s="14"/>
      <c r="D126" s="14"/>
      <c r="E126" s="14"/>
      <c r="F126" s="14"/>
      <c r="G126" s="40"/>
      <c r="H126" s="8"/>
    </row>
    <row r="127" spans="1:8" s="22" customFormat="1" ht="12.75">
      <c r="A127" s="14"/>
      <c r="B127" s="61"/>
      <c r="C127" s="14"/>
      <c r="D127" s="14"/>
      <c r="E127" s="14"/>
      <c r="F127" s="14"/>
      <c r="G127" s="40"/>
      <c r="H127" s="6"/>
    </row>
    <row r="128" spans="1:8" s="22" customFormat="1" ht="12.75">
      <c r="A128" s="14"/>
      <c r="B128" s="61"/>
      <c r="C128" s="14"/>
      <c r="D128" s="14"/>
      <c r="E128" s="14"/>
      <c r="F128" s="14"/>
      <c r="G128" s="40"/>
      <c r="H128" s="6"/>
    </row>
    <row r="129" spans="1:8" s="22" customFormat="1" ht="12.75">
      <c r="A129" s="14"/>
      <c r="B129" s="61"/>
      <c r="C129" s="14"/>
      <c r="D129" s="14"/>
      <c r="E129" s="14"/>
      <c r="F129" s="14"/>
      <c r="G129" s="40"/>
      <c r="H129" s="6"/>
    </row>
    <row r="130" spans="1:8" s="22" customFormat="1" ht="12.75">
      <c r="A130" s="14"/>
      <c r="B130" s="61"/>
      <c r="C130" s="14"/>
      <c r="D130" s="14"/>
      <c r="E130" s="14"/>
      <c r="F130" s="14"/>
      <c r="G130" s="40"/>
      <c r="H130" s="6"/>
    </row>
    <row r="131" spans="1:8" s="22" customFormat="1" ht="12.75">
      <c r="A131" s="14"/>
      <c r="B131" s="61"/>
      <c r="C131" s="14"/>
      <c r="D131" s="14"/>
      <c r="E131" s="14"/>
      <c r="F131" s="14"/>
      <c r="G131" s="40"/>
      <c r="H131" s="6"/>
    </row>
    <row r="132" spans="1:8" s="22" customFormat="1" ht="12.75">
      <c r="A132" s="14"/>
      <c r="B132" s="61"/>
      <c r="C132" s="14"/>
      <c r="D132" s="14"/>
      <c r="E132" s="14"/>
      <c r="F132" s="14"/>
      <c r="G132" s="40"/>
      <c r="H132" s="6"/>
    </row>
    <row r="133" spans="1:8" s="7" customFormat="1" ht="12.75">
      <c r="A133" s="14"/>
      <c r="B133" s="61"/>
      <c r="C133" s="14"/>
      <c r="D133" s="14"/>
      <c r="E133" s="14"/>
      <c r="F133" s="14"/>
      <c r="G133" s="40"/>
      <c r="H133" s="8"/>
    </row>
    <row r="134" spans="1:8" s="22" customFormat="1" ht="12.75">
      <c r="A134" s="14"/>
      <c r="B134" s="61"/>
      <c r="C134" s="14"/>
      <c r="D134" s="14"/>
      <c r="E134" s="14"/>
      <c r="F134" s="14"/>
      <c r="G134" s="40"/>
      <c r="H134" s="6"/>
    </row>
    <row r="135" spans="1:8" s="22" customFormat="1" ht="12.75">
      <c r="A135" s="14"/>
      <c r="B135" s="61"/>
      <c r="C135" s="14"/>
      <c r="D135" s="14"/>
      <c r="E135" s="14"/>
      <c r="F135" s="14"/>
      <c r="G135" s="40"/>
      <c r="H135" s="6"/>
    </row>
    <row r="136" spans="1:8" s="7" customFormat="1" ht="12.75">
      <c r="A136" s="14"/>
      <c r="B136" s="61"/>
      <c r="C136" s="14"/>
      <c r="D136" s="14"/>
      <c r="E136" s="14"/>
      <c r="F136" s="14"/>
      <c r="G136" s="40"/>
      <c r="H136" s="6"/>
    </row>
    <row r="137" spans="7:8" s="7" customFormat="1" ht="28.5" customHeight="1">
      <c r="G137" s="40"/>
      <c r="H137" s="6"/>
    </row>
    <row r="138" spans="2:6" ht="12.75">
      <c r="B138" s="61"/>
      <c r="C138" s="14"/>
      <c r="D138" s="14"/>
      <c r="E138" s="14"/>
      <c r="F138" s="14"/>
    </row>
    <row r="139" spans="3:6" ht="12.75">
      <c r="C139" s="14"/>
      <c r="D139" s="14"/>
      <c r="E139" s="14"/>
      <c r="F139" s="14"/>
    </row>
    <row r="140" spans="3:6" ht="12.75">
      <c r="C140" s="14"/>
      <c r="D140" s="14"/>
      <c r="E140" s="14"/>
      <c r="F140" s="14"/>
    </row>
    <row r="141" spans="3:6" ht="12.75">
      <c r="C141" s="14"/>
      <c r="D141" s="14"/>
      <c r="E141" s="14"/>
      <c r="F141" s="14"/>
    </row>
    <row r="142" spans="3:6" ht="12.75">
      <c r="C142" s="14"/>
      <c r="D142" s="14"/>
      <c r="E142" s="14"/>
      <c r="F142" s="14"/>
    </row>
    <row r="143" spans="3:6" ht="12.75">
      <c r="C143" s="14"/>
      <c r="D143" s="14"/>
      <c r="E143" s="14"/>
      <c r="F143" s="14"/>
    </row>
    <row r="144" spans="3:6" ht="12.75">
      <c r="C144" s="14"/>
      <c r="D144" s="14"/>
      <c r="E144" s="14"/>
      <c r="F144" s="14"/>
    </row>
    <row r="145" spans="3:6" ht="12.75">
      <c r="C145" s="14"/>
      <c r="D145" s="14"/>
      <c r="E145" s="14"/>
      <c r="F145" s="14"/>
    </row>
    <row r="146" spans="3:6" ht="12.75">
      <c r="C146" s="14"/>
      <c r="D146" s="14"/>
      <c r="E146" s="14"/>
      <c r="F146" s="14"/>
    </row>
    <row r="147" spans="3:6" ht="12.75">
      <c r="C147" s="14"/>
      <c r="D147" s="14"/>
      <c r="E147" s="14"/>
      <c r="F147" s="14"/>
    </row>
    <row r="148" spans="3:6" ht="12.75">
      <c r="C148" s="14"/>
      <c r="D148" s="14"/>
      <c r="E148" s="14"/>
      <c r="F148" s="14"/>
    </row>
    <row r="149" spans="3:6" ht="12.75">
      <c r="C149" s="14"/>
      <c r="D149" s="14"/>
      <c r="E149" s="14"/>
      <c r="F149" s="14"/>
    </row>
    <row r="150" spans="3:6" ht="12.75">
      <c r="C150" s="14"/>
      <c r="D150" s="14"/>
      <c r="E150" s="14"/>
      <c r="F150" s="14"/>
    </row>
    <row r="151" spans="3:6" ht="12.75">
      <c r="C151" s="14"/>
      <c r="D151" s="14"/>
      <c r="E151" s="14"/>
      <c r="F151" s="14"/>
    </row>
    <row r="152" spans="3:6" ht="12.75">
      <c r="C152" s="14"/>
      <c r="D152" s="14"/>
      <c r="E152" s="14"/>
      <c r="F152" s="14"/>
    </row>
    <row r="153" spans="3:6" ht="12.75">
      <c r="C153" s="14"/>
      <c r="D153" s="14"/>
      <c r="E153" s="14"/>
      <c r="F153" s="14"/>
    </row>
    <row r="154" spans="3:6" ht="12.75">
      <c r="C154" s="14"/>
      <c r="D154" s="14"/>
      <c r="E154" s="14"/>
      <c r="F154" s="14"/>
    </row>
    <row r="155" spans="3:6" ht="12.75">
      <c r="C155" s="14"/>
      <c r="D155" s="14"/>
      <c r="E155" s="14"/>
      <c r="F155" s="14"/>
    </row>
    <row r="156" spans="3:6" ht="12.75">
      <c r="C156" s="14"/>
      <c r="D156" s="14"/>
      <c r="E156" s="14"/>
      <c r="F156" s="14"/>
    </row>
    <row r="157" spans="3:6" ht="12.75">
      <c r="C157" s="14"/>
      <c r="D157" s="14"/>
      <c r="E157" s="14"/>
      <c r="F157" s="14"/>
    </row>
    <row r="158" spans="3:6" ht="12.75">
      <c r="C158" s="14"/>
      <c r="D158" s="14"/>
      <c r="E158" s="14"/>
      <c r="F158" s="14"/>
    </row>
    <row r="159" spans="3:6" ht="12.75">
      <c r="C159" s="14"/>
      <c r="D159" s="14"/>
      <c r="E159" s="14"/>
      <c r="F159" s="14"/>
    </row>
    <row r="160" spans="3:6" ht="12.75">
      <c r="C160" s="14"/>
      <c r="D160" s="14"/>
      <c r="E160" s="14"/>
      <c r="F160" s="14"/>
    </row>
    <row r="161" spans="3:6" ht="12.75">
      <c r="C161" s="14"/>
      <c r="D161" s="14"/>
      <c r="E161" s="14"/>
      <c r="F161" s="14"/>
    </row>
    <row r="162" spans="3:6" ht="12.75">
      <c r="C162" s="14"/>
      <c r="D162" s="14"/>
      <c r="E162" s="14"/>
      <c r="F162" s="14"/>
    </row>
    <row r="163" spans="3:6" ht="12.75">
      <c r="C163" s="14"/>
      <c r="D163" s="14"/>
      <c r="E163" s="14"/>
      <c r="F163" s="14"/>
    </row>
    <row r="164" spans="3:6" ht="12.75">
      <c r="C164" s="14"/>
      <c r="D164" s="14"/>
      <c r="E164" s="14"/>
      <c r="F164" s="14"/>
    </row>
    <row r="165" spans="3:6" ht="12.75">
      <c r="C165" s="14"/>
      <c r="D165" s="14"/>
      <c r="E165" s="14"/>
      <c r="F165" s="14"/>
    </row>
    <row r="166" spans="3:6" ht="12.75">
      <c r="C166" s="14"/>
      <c r="D166" s="14"/>
      <c r="E166" s="14"/>
      <c r="F166" s="14"/>
    </row>
    <row r="167" spans="3:6" ht="12.75">
      <c r="C167" s="14"/>
      <c r="D167" s="14"/>
      <c r="E167" s="14"/>
      <c r="F167" s="14"/>
    </row>
    <row r="168" spans="3:6" ht="12.75">
      <c r="C168" s="14"/>
      <c r="D168" s="14"/>
      <c r="E168" s="14"/>
      <c r="F168" s="14"/>
    </row>
    <row r="169" spans="3:6" ht="12.75">
      <c r="C169" s="14"/>
      <c r="D169" s="14"/>
      <c r="E169" s="14"/>
      <c r="F169" s="14"/>
    </row>
    <row r="170" spans="3:6" ht="12.75">
      <c r="C170" s="14"/>
      <c r="D170" s="14"/>
      <c r="E170" s="14"/>
      <c r="F170" s="14"/>
    </row>
    <row r="171" spans="3:6" ht="12.75">
      <c r="C171" s="14"/>
      <c r="D171" s="14"/>
      <c r="E171" s="14"/>
      <c r="F171" s="14"/>
    </row>
    <row r="172" spans="3:6" ht="12.75">
      <c r="C172" s="14"/>
      <c r="D172" s="14"/>
      <c r="E172" s="14"/>
      <c r="F172" s="14"/>
    </row>
    <row r="173" spans="3:6" ht="12.75">
      <c r="C173" s="14"/>
      <c r="D173" s="14"/>
      <c r="E173" s="14"/>
      <c r="F173" s="14"/>
    </row>
    <row r="174" spans="3:6" ht="12.75">
      <c r="C174" s="14"/>
      <c r="D174" s="14"/>
      <c r="E174" s="14"/>
      <c r="F174" s="14"/>
    </row>
    <row r="175" spans="3:6" ht="12.75">
      <c r="C175" s="14"/>
      <c r="D175" s="14"/>
      <c r="E175" s="14"/>
      <c r="F175" s="14"/>
    </row>
    <row r="176" spans="3:6" ht="12.75">
      <c r="C176" s="14"/>
      <c r="D176" s="14"/>
      <c r="E176" s="14"/>
      <c r="F176" s="14"/>
    </row>
    <row r="177" spans="3:6" ht="12.75">
      <c r="C177" s="14"/>
      <c r="D177" s="14"/>
      <c r="E177" s="14"/>
      <c r="F177" s="14"/>
    </row>
    <row r="178" spans="3:6" ht="12.75">
      <c r="C178" s="14"/>
      <c r="D178" s="14"/>
      <c r="E178" s="14"/>
      <c r="F178" s="14"/>
    </row>
    <row r="179" spans="3:6" ht="12.75">
      <c r="C179" s="14"/>
      <c r="D179" s="14"/>
      <c r="E179" s="14"/>
      <c r="F179" s="14"/>
    </row>
    <row r="180" spans="3:6" ht="12.75">
      <c r="C180" s="14"/>
      <c r="D180" s="14"/>
      <c r="E180" s="14"/>
      <c r="F180" s="14"/>
    </row>
    <row r="181" spans="3:6" ht="12.75">
      <c r="C181" s="14"/>
      <c r="D181" s="14"/>
      <c r="E181" s="14"/>
      <c r="F181" s="14"/>
    </row>
    <row r="182" spans="3:6" ht="12.75">
      <c r="C182" s="14"/>
      <c r="D182" s="14"/>
      <c r="E182" s="14"/>
      <c r="F182" s="14"/>
    </row>
    <row r="183" spans="3:6" ht="12.75">
      <c r="C183" s="14"/>
      <c r="D183" s="14"/>
      <c r="E183" s="14"/>
      <c r="F183" s="14"/>
    </row>
    <row r="184" spans="3:6" ht="12.75">
      <c r="C184" s="14"/>
      <c r="D184" s="14"/>
      <c r="E184" s="14"/>
      <c r="F184" s="14"/>
    </row>
    <row r="185" spans="3:6" ht="12.75">
      <c r="C185" s="14"/>
      <c r="D185" s="14"/>
      <c r="E185" s="14"/>
      <c r="F185" s="14"/>
    </row>
    <row r="186" spans="3:6" ht="12.75">
      <c r="C186" s="14"/>
      <c r="D186" s="14"/>
      <c r="E186" s="14"/>
      <c r="F186" s="14"/>
    </row>
    <row r="187" spans="3:6" ht="12.75">
      <c r="C187" s="14"/>
      <c r="D187" s="14"/>
      <c r="E187" s="14"/>
      <c r="F187" s="14"/>
    </row>
    <row r="188" spans="3:6" ht="12.75">
      <c r="C188" s="14"/>
      <c r="D188" s="14"/>
      <c r="E188" s="14"/>
      <c r="F188" s="14"/>
    </row>
    <row r="189" spans="3:6" ht="12.75">
      <c r="C189" s="14"/>
      <c r="D189" s="14"/>
      <c r="E189" s="14"/>
      <c r="F189" s="14"/>
    </row>
    <row r="190" spans="3:6" ht="12.75">
      <c r="C190" s="14"/>
      <c r="D190" s="14"/>
      <c r="E190" s="14"/>
      <c r="F190" s="14"/>
    </row>
    <row r="191" spans="3:6" ht="12.75">
      <c r="C191" s="14"/>
      <c r="D191" s="14"/>
      <c r="E191" s="14"/>
      <c r="F191" s="14"/>
    </row>
    <row r="192" spans="3:6" ht="12.75">
      <c r="C192" s="14"/>
      <c r="D192" s="14"/>
      <c r="E192" s="14"/>
      <c r="F192" s="14"/>
    </row>
    <row r="193" spans="3:6" ht="12.75">
      <c r="C193" s="14"/>
      <c r="D193" s="14"/>
      <c r="E193" s="14"/>
      <c r="F193" s="14"/>
    </row>
    <row r="194" spans="3:6" ht="12.75">
      <c r="C194" s="14"/>
      <c r="D194" s="14"/>
      <c r="E194" s="14"/>
      <c r="F194" s="14"/>
    </row>
    <row r="195" spans="3:6" ht="12.75">
      <c r="C195" s="14"/>
      <c r="D195" s="14"/>
      <c r="E195" s="14"/>
      <c r="F195" s="14"/>
    </row>
    <row r="196" spans="3:6" ht="12.75">
      <c r="C196" s="14"/>
      <c r="D196" s="14"/>
      <c r="E196" s="14"/>
      <c r="F196" s="14"/>
    </row>
    <row r="197" spans="3:6" ht="12.75">
      <c r="C197" s="14"/>
      <c r="D197" s="14"/>
      <c r="E197" s="14"/>
      <c r="F197" s="14"/>
    </row>
    <row r="198" spans="3:6" ht="12.75">
      <c r="C198" s="14"/>
      <c r="D198" s="14"/>
      <c r="E198" s="14"/>
      <c r="F198" s="14"/>
    </row>
    <row r="199" spans="3:6" ht="12.75">
      <c r="C199" s="14"/>
      <c r="D199" s="14"/>
      <c r="E199" s="14"/>
      <c r="F199" s="14"/>
    </row>
    <row r="200" spans="3:6" ht="12.75">
      <c r="C200" s="14"/>
      <c r="D200" s="14"/>
      <c r="E200" s="14"/>
      <c r="F200" s="14"/>
    </row>
    <row r="201" spans="3:6" ht="12.75">
      <c r="C201" s="14"/>
      <c r="D201" s="14"/>
      <c r="E201" s="14"/>
      <c r="F201" s="14"/>
    </row>
    <row r="202" spans="3:6" ht="12.75">
      <c r="C202" s="14"/>
      <c r="D202" s="14"/>
      <c r="E202" s="14"/>
      <c r="F202" s="14"/>
    </row>
    <row r="203" spans="3:6" ht="12.75">
      <c r="C203" s="14"/>
      <c r="D203" s="14"/>
      <c r="E203" s="14"/>
      <c r="F203" s="14"/>
    </row>
    <row r="204" spans="3:6" ht="12.75">
      <c r="C204" s="14"/>
      <c r="D204" s="14"/>
      <c r="E204" s="14"/>
      <c r="F204" s="14"/>
    </row>
    <row r="205" spans="3:6" ht="12.75">
      <c r="C205" s="14"/>
      <c r="D205" s="14"/>
      <c r="E205" s="14"/>
      <c r="F205" s="14"/>
    </row>
    <row r="206" spans="3:6" ht="12.75">
      <c r="C206" s="14"/>
      <c r="D206" s="14"/>
      <c r="E206" s="14"/>
      <c r="F206" s="14"/>
    </row>
    <row r="207" spans="3:6" ht="12.75">
      <c r="C207" s="14"/>
      <c r="D207" s="14"/>
      <c r="E207" s="14"/>
      <c r="F207" s="14"/>
    </row>
    <row r="208" spans="3:6" ht="12.75">
      <c r="C208" s="14"/>
      <c r="D208" s="14"/>
      <c r="E208" s="14"/>
      <c r="F208" s="14"/>
    </row>
    <row r="209" spans="3:6" ht="12.75">
      <c r="C209" s="14"/>
      <c r="D209" s="14"/>
      <c r="E209" s="14"/>
      <c r="F209" s="14"/>
    </row>
    <row r="210" spans="3:6" ht="12.75">
      <c r="C210" s="14"/>
      <c r="D210" s="14"/>
      <c r="E210" s="14"/>
      <c r="F210" s="14"/>
    </row>
    <row r="211" spans="3:6" ht="12.75">
      <c r="C211" s="14"/>
      <c r="D211" s="14"/>
      <c r="E211" s="14"/>
      <c r="F211" s="14"/>
    </row>
    <row r="212" spans="3:6" ht="12.75">
      <c r="C212" s="14"/>
      <c r="D212" s="14"/>
      <c r="E212" s="14"/>
      <c r="F212" s="14"/>
    </row>
    <row r="213" spans="3:6" ht="12.75">
      <c r="C213" s="14"/>
      <c r="D213" s="14"/>
      <c r="E213" s="14"/>
      <c r="F213" s="14"/>
    </row>
    <row r="214" spans="3:6" ht="12.75">
      <c r="C214" s="14"/>
      <c r="D214" s="14"/>
      <c r="E214" s="14"/>
      <c r="F214" s="14"/>
    </row>
    <row r="215" spans="3:6" ht="12.75">
      <c r="C215" s="14"/>
      <c r="D215" s="14"/>
      <c r="E215" s="14"/>
      <c r="F215" s="14"/>
    </row>
    <row r="216" spans="3:6" ht="12.75">
      <c r="C216" s="14"/>
      <c r="D216" s="14"/>
      <c r="E216" s="14"/>
      <c r="F216" s="14"/>
    </row>
    <row r="217" spans="3:6" ht="12.75">
      <c r="C217" s="14"/>
      <c r="D217" s="14"/>
      <c r="E217" s="14"/>
      <c r="F217" s="14"/>
    </row>
    <row r="218" spans="3:6" ht="12.75">
      <c r="C218" s="14"/>
      <c r="D218" s="14"/>
      <c r="E218" s="14"/>
      <c r="F218" s="14"/>
    </row>
    <row r="219" spans="3:6" ht="12.75">
      <c r="C219" s="14"/>
      <c r="D219" s="14"/>
      <c r="E219" s="14"/>
      <c r="F219" s="14"/>
    </row>
    <row r="220" spans="3:6" ht="12.75">
      <c r="C220" s="14"/>
      <c r="D220" s="14"/>
      <c r="E220" s="14"/>
      <c r="F220" s="14"/>
    </row>
    <row r="221" spans="3:6" ht="12.75">
      <c r="C221" s="14"/>
      <c r="D221" s="14"/>
      <c r="E221" s="14"/>
      <c r="F221" s="14"/>
    </row>
    <row r="222" spans="3:6" ht="12.75">
      <c r="C222" s="14"/>
      <c r="D222" s="14"/>
      <c r="E222" s="14"/>
      <c r="F222" s="14"/>
    </row>
    <row r="223" spans="3:6" ht="12.75">
      <c r="C223" s="14"/>
      <c r="D223" s="14"/>
      <c r="E223" s="14"/>
      <c r="F223" s="14"/>
    </row>
    <row r="224" spans="3:6" ht="12.75">
      <c r="C224" s="14"/>
      <c r="D224" s="14"/>
      <c r="E224" s="14"/>
      <c r="F224" s="14"/>
    </row>
    <row r="225" spans="3:6" ht="12.75">
      <c r="C225" s="14"/>
      <c r="D225" s="14"/>
      <c r="E225" s="14"/>
      <c r="F225" s="14"/>
    </row>
    <row r="226" spans="3:6" ht="12.75">
      <c r="C226" s="14"/>
      <c r="D226" s="14"/>
      <c r="E226" s="14"/>
      <c r="F226" s="14"/>
    </row>
    <row r="227" spans="3:6" ht="12.75">
      <c r="C227" s="14"/>
      <c r="D227" s="14"/>
      <c r="E227" s="14"/>
      <c r="F227" s="14"/>
    </row>
    <row r="228" spans="3:6" ht="12.75">
      <c r="C228" s="14"/>
      <c r="D228" s="14"/>
      <c r="E228" s="14"/>
      <c r="F228" s="14"/>
    </row>
    <row r="229" spans="3:6" ht="12.75">
      <c r="C229" s="14"/>
      <c r="D229" s="14"/>
      <c r="E229" s="14"/>
      <c r="F229" s="14"/>
    </row>
    <row r="230" spans="3:6" ht="12.75">
      <c r="C230" s="14"/>
      <c r="D230" s="14"/>
      <c r="E230" s="14"/>
      <c r="F230" s="14"/>
    </row>
    <row r="231" spans="3:6" ht="12.75">
      <c r="C231" s="14"/>
      <c r="D231" s="14"/>
      <c r="E231" s="14"/>
      <c r="F231" s="14"/>
    </row>
    <row r="232" spans="3:6" ht="12.75">
      <c r="C232" s="14"/>
      <c r="D232" s="14"/>
      <c r="E232" s="14"/>
      <c r="F232" s="14"/>
    </row>
    <row r="233" spans="3:6" ht="12.75">
      <c r="C233" s="14"/>
      <c r="D233" s="14"/>
      <c r="E233" s="14"/>
      <c r="F233" s="14"/>
    </row>
    <row r="234" spans="3:6" ht="12.75">
      <c r="C234" s="14"/>
      <c r="D234" s="14"/>
      <c r="E234" s="14"/>
      <c r="F234" s="14"/>
    </row>
    <row r="235" spans="3:6" ht="12.75">
      <c r="C235" s="14"/>
      <c r="D235" s="14"/>
      <c r="E235" s="14"/>
      <c r="F235" s="14"/>
    </row>
    <row r="236" spans="3:6" ht="12.75">
      <c r="C236" s="14"/>
      <c r="D236" s="14"/>
      <c r="E236" s="14"/>
      <c r="F236" s="14"/>
    </row>
    <row r="237" spans="3:6" ht="12.75">
      <c r="C237" s="14"/>
      <c r="D237" s="14"/>
      <c r="E237" s="14"/>
      <c r="F237" s="14"/>
    </row>
    <row r="238" spans="3:6" ht="12.75">
      <c r="C238" s="14"/>
      <c r="D238" s="14"/>
      <c r="E238" s="14"/>
      <c r="F238" s="14"/>
    </row>
    <row r="239" spans="3:6" ht="12.75">
      <c r="C239" s="14"/>
      <c r="D239" s="14"/>
      <c r="E239" s="14"/>
      <c r="F239" s="14"/>
    </row>
    <row r="240" spans="3:6" ht="12.75">
      <c r="C240" s="14"/>
      <c r="D240" s="14"/>
      <c r="E240" s="14"/>
      <c r="F240" s="14"/>
    </row>
    <row r="241" spans="3:6" ht="12.75">
      <c r="C241" s="14"/>
      <c r="D241" s="14"/>
      <c r="E241" s="14"/>
      <c r="F241" s="14"/>
    </row>
    <row r="242" spans="3:6" ht="12.75">
      <c r="C242" s="14"/>
      <c r="D242" s="14"/>
      <c r="E242" s="14"/>
      <c r="F242" s="14"/>
    </row>
    <row r="243" spans="3:6" ht="12.75">
      <c r="C243" s="14"/>
      <c r="D243" s="14"/>
      <c r="E243" s="14"/>
      <c r="F243" s="14"/>
    </row>
    <row r="244" spans="3:6" ht="12.75">
      <c r="C244" s="14"/>
      <c r="D244" s="14"/>
      <c r="E244" s="14"/>
      <c r="F244" s="14"/>
    </row>
    <row r="245" spans="3:6" ht="12.75">
      <c r="C245" s="14"/>
      <c r="D245" s="14"/>
      <c r="E245" s="14"/>
      <c r="F245" s="14"/>
    </row>
    <row r="246" spans="3:6" ht="12.75">
      <c r="C246" s="14"/>
      <c r="D246" s="14"/>
      <c r="E246" s="14"/>
      <c r="F246" s="14"/>
    </row>
    <row r="247" spans="3:6" ht="12.75">
      <c r="C247" s="14"/>
      <c r="D247" s="14"/>
      <c r="E247" s="14"/>
      <c r="F247" s="14"/>
    </row>
    <row r="248" spans="3:6" ht="12.75">
      <c r="C248" s="14"/>
      <c r="D248" s="14"/>
      <c r="E248" s="14"/>
      <c r="F248" s="14"/>
    </row>
    <row r="249" spans="3:6" ht="12.75">
      <c r="C249" s="14"/>
      <c r="D249" s="14"/>
      <c r="E249" s="14"/>
      <c r="F249" s="14"/>
    </row>
    <row r="250" spans="3:6" ht="12.75">
      <c r="C250" s="14"/>
      <c r="D250" s="14"/>
      <c r="E250" s="14"/>
      <c r="F250" s="14"/>
    </row>
    <row r="251" spans="3:6" ht="12.75">
      <c r="C251" s="14"/>
      <c r="D251" s="14"/>
      <c r="E251" s="14"/>
      <c r="F251" s="14"/>
    </row>
    <row r="252" spans="3:6" ht="12.75">
      <c r="C252" s="14"/>
      <c r="D252" s="14"/>
      <c r="E252" s="14"/>
      <c r="F252" s="14"/>
    </row>
    <row r="253" spans="3:6" ht="12.75">
      <c r="C253" s="14"/>
      <c r="D253" s="14"/>
      <c r="E253" s="14"/>
      <c r="F253" s="14"/>
    </row>
    <row r="254" spans="3:6" ht="12.75">
      <c r="C254" s="14"/>
      <c r="D254" s="14"/>
      <c r="E254" s="14"/>
      <c r="F254" s="14"/>
    </row>
    <row r="255" spans="3:6" ht="12.75">
      <c r="C255" s="14"/>
      <c r="D255" s="14"/>
      <c r="E255" s="14"/>
      <c r="F255" s="14"/>
    </row>
    <row r="256" spans="3:6" ht="12.75">
      <c r="C256" s="14"/>
      <c r="D256" s="14"/>
      <c r="E256" s="14"/>
      <c r="F256" s="14"/>
    </row>
    <row r="257" spans="3:6" ht="12.75">
      <c r="C257" s="14"/>
      <c r="D257" s="14"/>
      <c r="E257" s="14"/>
      <c r="F257" s="14"/>
    </row>
    <row r="258" spans="3:6" ht="12.75">
      <c r="C258" s="14"/>
      <c r="D258" s="14"/>
      <c r="E258" s="14"/>
      <c r="F258" s="14"/>
    </row>
    <row r="259" spans="3:6" ht="12.75">
      <c r="C259" s="14"/>
      <c r="D259" s="14"/>
      <c r="E259" s="14"/>
      <c r="F259" s="14"/>
    </row>
    <row r="260" spans="3:6" ht="12.75">
      <c r="C260" s="14"/>
      <c r="D260" s="14"/>
      <c r="E260" s="14"/>
      <c r="F260" s="14"/>
    </row>
    <row r="261" spans="3:6" ht="12.75">
      <c r="C261" s="14"/>
      <c r="D261" s="14"/>
      <c r="E261" s="14"/>
      <c r="F261" s="14"/>
    </row>
    <row r="262" spans="3:6" ht="12.75">
      <c r="C262" s="14"/>
      <c r="D262" s="14"/>
      <c r="E262" s="14"/>
      <c r="F262" s="14"/>
    </row>
    <row r="263" spans="3:6" ht="12.75">
      <c r="C263" s="14"/>
      <c r="D263" s="14"/>
      <c r="E263" s="14"/>
      <c r="F263" s="14"/>
    </row>
    <row r="264" spans="3:6" ht="12.75">
      <c r="C264" s="14"/>
      <c r="D264" s="14"/>
      <c r="E264" s="14"/>
      <c r="F264" s="14"/>
    </row>
    <row r="265" spans="3:6" ht="12.75">
      <c r="C265" s="14"/>
      <c r="D265" s="14"/>
      <c r="E265" s="14"/>
      <c r="F265" s="14"/>
    </row>
    <row r="266" spans="3:6" ht="12.75">
      <c r="C266" s="14"/>
      <c r="D266" s="14"/>
      <c r="E266" s="14"/>
      <c r="F266" s="14"/>
    </row>
    <row r="267" spans="3:6" ht="12.75">
      <c r="C267" s="14"/>
      <c r="D267" s="14"/>
      <c r="E267" s="14"/>
      <c r="F267" s="14"/>
    </row>
    <row r="268" spans="3:6" ht="12.75">
      <c r="C268" s="14"/>
      <c r="D268" s="14"/>
      <c r="E268" s="14"/>
      <c r="F268" s="14"/>
    </row>
    <row r="269" spans="3:6" ht="12.75">
      <c r="C269" s="14"/>
      <c r="D269" s="14"/>
      <c r="E269" s="14"/>
      <c r="F269" s="14"/>
    </row>
    <row r="270" spans="3:6" ht="12.75">
      <c r="C270" s="14"/>
      <c r="D270" s="14"/>
      <c r="E270" s="14"/>
      <c r="F270" s="14"/>
    </row>
    <row r="271" spans="3:6" ht="12.75">
      <c r="C271" s="14"/>
      <c r="D271" s="14"/>
      <c r="E271" s="14"/>
      <c r="F271" s="14"/>
    </row>
    <row r="272" spans="3:6" ht="12.75">
      <c r="C272" s="14"/>
      <c r="D272" s="14"/>
      <c r="E272" s="14"/>
      <c r="F272" s="14"/>
    </row>
    <row r="273" spans="3:6" ht="12.75">
      <c r="C273" s="14"/>
      <c r="D273" s="14"/>
      <c r="E273" s="14"/>
      <c r="F273" s="14"/>
    </row>
    <row r="274" spans="3:6" ht="12.75">
      <c r="C274" s="14"/>
      <c r="D274" s="14"/>
      <c r="E274" s="14"/>
      <c r="F274" s="14"/>
    </row>
    <row r="275" spans="3:6" ht="12.75">
      <c r="C275" s="14"/>
      <c r="D275" s="14"/>
      <c r="E275" s="14"/>
      <c r="F275" s="14"/>
    </row>
    <row r="276" spans="3:6" ht="12.75">
      <c r="C276" s="14"/>
      <c r="D276" s="14"/>
      <c r="E276" s="14"/>
      <c r="F276" s="14"/>
    </row>
    <row r="277" spans="3:6" ht="12.75">
      <c r="C277" s="14"/>
      <c r="D277" s="14"/>
      <c r="E277" s="14"/>
      <c r="F277" s="14"/>
    </row>
    <row r="278" spans="3:6" ht="12.75">
      <c r="C278" s="14"/>
      <c r="D278" s="14"/>
      <c r="E278" s="14"/>
      <c r="F278" s="14"/>
    </row>
    <row r="279" spans="3:6" ht="12.75">
      <c r="C279" s="14"/>
      <c r="D279" s="14"/>
      <c r="E279" s="14"/>
      <c r="F279" s="14"/>
    </row>
    <row r="280" spans="3:6" ht="12.75">
      <c r="C280" s="14"/>
      <c r="D280" s="14"/>
      <c r="E280" s="14"/>
      <c r="F280" s="14"/>
    </row>
    <row r="281" spans="3:6" ht="12.75">
      <c r="C281" s="14"/>
      <c r="D281" s="14"/>
      <c r="E281" s="14"/>
      <c r="F281" s="14"/>
    </row>
    <row r="282" spans="3:6" ht="12.75">
      <c r="C282" s="14"/>
      <c r="D282" s="14"/>
      <c r="E282" s="14"/>
      <c r="F282" s="14"/>
    </row>
    <row r="283" spans="3:6" ht="12.75">
      <c r="C283" s="14"/>
      <c r="D283" s="14"/>
      <c r="E283" s="14"/>
      <c r="F283" s="14"/>
    </row>
    <row r="284" spans="3:6" ht="12.75">
      <c r="C284" s="14"/>
      <c r="D284" s="14"/>
      <c r="E284" s="14"/>
      <c r="F284" s="14"/>
    </row>
    <row r="285" spans="3:6" ht="12.75">
      <c r="C285" s="14"/>
      <c r="D285" s="14"/>
      <c r="E285" s="14"/>
      <c r="F285" s="14"/>
    </row>
    <row r="286" spans="3:6" ht="12.75">
      <c r="C286" s="14"/>
      <c r="D286" s="14"/>
      <c r="E286" s="14"/>
      <c r="F286" s="14"/>
    </row>
    <row r="287" spans="3:6" ht="12.75">
      <c r="C287" s="14"/>
      <c r="D287" s="14"/>
      <c r="E287" s="14"/>
      <c r="F287" s="14"/>
    </row>
    <row r="288" spans="3:6" ht="12.75">
      <c r="C288" s="14"/>
      <c r="D288" s="14"/>
      <c r="E288" s="14"/>
      <c r="F288" s="14"/>
    </row>
    <row r="289" spans="3:6" ht="12.75">
      <c r="C289" s="14"/>
      <c r="D289" s="14"/>
      <c r="E289" s="14"/>
      <c r="F289" s="14"/>
    </row>
    <row r="290" spans="3:6" ht="12.75">
      <c r="C290" s="14"/>
      <c r="D290" s="14"/>
      <c r="E290" s="14"/>
      <c r="F290" s="14"/>
    </row>
    <row r="291" spans="3:6" ht="12.75">
      <c r="C291" s="14"/>
      <c r="D291" s="14"/>
      <c r="E291" s="14"/>
      <c r="F291" s="14"/>
    </row>
    <row r="292" spans="3:6" ht="12.75">
      <c r="C292" s="14"/>
      <c r="D292" s="14"/>
      <c r="E292" s="14"/>
      <c r="F292" s="14"/>
    </row>
    <row r="293" spans="3:6" ht="12.75">
      <c r="C293" s="14"/>
      <c r="D293" s="14"/>
      <c r="E293" s="14"/>
      <c r="F293" s="14"/>
    </row>
    <row r="294" spans="3:6" ht="12.75">
      <c r="C294" s="14"/>
      <c r="D294" s="14"/>
      <c r="E294" s="14"/>
      <c r="F294" s="14"/>
    </row>
    <row r="295" spans="3:6" ht="12.75">
      <c r="C295" s="14"/>
      <c r="D295" s="14"/>
      <c r="E295" s="14"/>
      <c r="F295" s="14"/>
    </row>
    <row r="296" spans="3:6" ht="12.75">
      <c r="C296" s="14"/>
      <c r="D296" s="14"/>
      <c r="E296" s="14"/>
      <c r="F296" s="14"/>
    </row>
    <row r="297" spans="3:6" ht="12.75">
      <c r="C297" s="14"/>
      <c r="D297" s="14"/>
      <c r="E297" s="14"/>
      <c r="F297" s="14"/>
    </row>
    <row r="298" spans="3:6" ht="12.75">
      <c r="C298" s="14"/>
      <c r="D298" s="14"/>
      <c r="E298" s="14"/>
      <c r="F298" s="14"/>
    </row>
    <row r="299" spans="3:6" ht="12.75">
      <c r="C299" s="14"/>
      <c r="D299" s="14"/>
      <c r="E299" s="14"/>
      <c r="F299" s="14"/>
    </row>
    <row r="300" spans="3:6" ht="12.75">
      <c r="C300" s="14"/>
      <c r="D300" s="14"/>
      <c r="E300" s="14"/>
      <c r="F300" s="14"/>
    </row>
    <row r="301" spans="3:6" ht="12.75">
      <c r="C301" s="14"/>
      <c r="D301" s="14"/>
      <c r="E301" s="14"/>
      <c r="F301" s="14"/>
    </row>
    <row r="302" spans="3:6" ht="12.75">
      <c r="C302" s="14"/>
      <c r="D302" s="14"/>
      <c r="E302" s="14"/>
      <c r="F302" s="14"/>
    </row>
    <row r="303" spans="3:6" ht="12.75">
      <c r="C303" s="14"/>
      <c r="D303" s="14"/>
      <c r="E303" s="14"/>
      <c r="F303" s="14"/>
    </row>
    <row r="304" spans="3:6" ht="12.75">
      <c r="C304" s="14"/>
      <c r="D304" s="14"/>
      <c r="E304" s="14"/>
      <c r="F304" s="14"/>
    </row>
    <row r="305" spans="3:6" ht="12.75">
      <c r="C305" s="14"/>
      <c r="D305" s="14"/>
      <c r="E305" s="14"/>
      <c r="F305" s="14"/>
    </row>
    <row r="306" spans="3:6" ht="12.75">
      <c r="C306" s="14"/>
      <c r="D306" s="14"/>
      <c r="E306" s="14"/>
      <c r="F306" s="14"/>
    </row>
    <row r="307" spans="3:6" ht="12.75">
      <c r="C307" s="14"/>
      <c r="D307" s="14"/>
      <c r="E307" s="14"/>
      <c r="F307" s="14"/>
    </row>
    <row r="308" spans="3:6" ht="12.75">
      <c r="C308" s="14"/>
      <c r="D308" s="14"/>
      <c r="E308" s="14"/>
      <c r="F308" s="14"/>
    </row>
    <row r="309" spans="3:6" ht="12.75">
      <c r="C309" s="14"/>
      <c r="D309" s="14"/>
      <c r="E309" s="14"/>
      <c r="F309" s="14"/>
    </row>
    <row r="310" spans="3:6" ht="12.75">
      <c r="C310" s="14"/>
      <c r="D310" s="14"/>
      <c r="E310" s="14"/>
      <c r="F310" s="14"/>
    </row>
    <row r="311" spans="3:6" ht="12.75">
      <c r="C311" s="14"/>
      <c r="D311" s="14"/>
      <c r="E311" s="14"/>
      <c r="F311" s="14"/>
    </row>
    <row r="312" spans="3:6" ht="12.75">
      <c r="C312" s="14"/>
      <c r="D312" s="14"/>
      <c r="E312" s="14"/>
      <c r="F312" s="14"/>
    </row>
    <row r="313" spans="3:6" ht="12.75">
      <c r="C313" s="14"/>
      <c r="D313" s="14"/>
      <c r="E313" s="14"/>
      <c r="F313" s="14"/>
    </row>
    <row r="314" spans="3:6" ht="12.75">
      <c r="C314" s="14"/>
      <c r="D314" s="14"/>
      <c r="E314" s="14"/>
      <c r="F314" s="14"/>
    </row>
    <row r="315" spans="3:6" ht="12.75">
      <c r="C315" s="14"/>
      <c r="D315" s="14"/>
      <c r="E315" s="14"/>
      <c r="F315" s="14"/>
    </row>
  </sheetData>
  <sheetProtection/>
  <mergeCells count="19">
    <mergeCell ref="A2:H2"/>
    <mergeCell ref="A3:H3"/>
    <mergeCell ref="A5:H5"/>
    <mergeCell ref="D9:E11"/>
    <mergeCell ref="G9:H11"/>
    <mergeCell ref="F9:F13"/>
    <mergeCell ref="G12:G13"/>
    <mergeCell ref="H12:H13"/>
    <mergeCell ref="F8:H8"/>
    <mergeCell ref="A4:H4"/>
    <mergeCell ref="A37:B37"/>
    <mergeCell ref="D12:D13"/>
    <mergeCell ref="E12:E13"/>
    <mergeCell ref="A15:B15"/>
    <mergeCell ref="A16:B16"/>
    <mergeCell ref="C9:C13"/>
    <mergeCell ref="A14:B14"/>
    <mergeCell ref="A8:B13"/>
    <mergeCell ref="C8:E8"/>
  </mergeCells>
  <printOptions/>
  <pageMargins left="0.5" right="0.25" top="0.75"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B103"/>
  <sheetViews>
    <sheetView view="pageLayout" zoomScale="90" zoomScalePageLayoutView="90" workbookViewId="0" topLeftCell="A82">
      <selection activeCell="G90" sqref="G90"/>
    </sheetView>
  </sheetViews>
  <sheetFormatPr defaultColWidth="9.140625" defaultRowHeight="12.75"/>
  <cols>
    <col min="1" max="1" width="3.8515625" style="3" customWidth="1"/>
    <col min="2" max="2" width="9.8515625" style="3" customWidth="1"/>
    <col min="3" max="3" width="9.00390625" style="3" customWidth="1"/>
    <col min="4" max="4" width="10.7109375" style="3" customWidth="1"/>
    <col min="5" max="5" width="7.28125" style="3" customWidth="1"/>
    <col min="6" max="6" width="10.28125" style="3" customWidth="1"/>
    <col min="7" max="7" width="8.28125" style="3" customWidth="1"/>
    <col min="8" max="8" width="10.00390625" style="3" customWidth="1"/>
    <col min="9" max="9" width="10.421875" style="3" customWidth="1"/>
    <col min="10" max="10" width="8.421875" style="3" customWidth="1"/>
    <col min="11" max="11" width="8.8515625" style="3" customWidth="1"/>
    <col min="12" max="12" width="7.8515625" style="11" customWidth="1"/>
    <col min="13" max="13" width="8.57421875" style="3" customWidth="1"/>
    <col min="14" max="14" width="8.7109375" style="3" customWidth="1"/>
    <col min="15" max="15" width="8.57421875" style="3" customWidth="1"/>
    <col min="16" max="16" width="8.28125" style="3" customWidth="1"/>
    <col min="17" max="17" width="5.7109375" style="14" customWidth="1"/>
    <col min="18" max="16384" width="9.140625" style="3" customWidth="1"/>
  </cols>
  <sheetData>
    <row r="1" spans="1:16" ht="24" customHeight="1">
      <c r="A1" s="60" t="s">
        <v>7</v>
      </c>
      <c r="B1" s="60"/>
      <c r="C1" s="27"/>
      <c r="D1" s="27"/>
      <c r="E1" s="27"/>
      <c r="F1" s="27"/>
      <c r="G1" s="27"/>
      <c r="H1" s="27"/>
      <c r="I1" s="27"/>
      <c r="J1" s="27"/>
      <c r="K1" s="27"/>
      <c r="L1" s="28"/>
      <c r="M1" s="27"/>
      <c r="N1" s="27"/>
      <c r="O1" s="27"/>
      <c r="P1" s="27"/>
    </row>
    <row r="2" spans="1:16" ht="24.75" customHeight="1">
      <c r="A2" s="326" t="s">
        <v>18</v>
      </c>
      <c r="B2" s="326"/>
      <c r="C2" s="326"/>
      <c r="D2" s="326"/>
      <c r="E2" s="326"/>
      <c r="F2" s="326"/>
      <c r="G2" s="326"/>
      <c r="H2" s="326"/>
      <c r="I2" s="326"/>
      <c r="J2" s="326"/>
      <c r="K2" s="326"/>
      <c r="L2" s="326"/>
      <c r="M2" s="326"/>
      <c r="N2" s="326"/>
      <c r="O2" s="326"/>
      <c r="P2" s="326"/>
    </row>
    <row r="3" spans="1:17" s="62" customFormat="1" ht="24.75" customHeight="1">
      <c r="A3" s="334" t="s">
        <v>145</v>
      </c>
      <c r="B3" s="334"/>
      <c r="C3" s="334"/>
      <c r="D3" s="334"/>
      <c r="E3" s="334"/>
      <c r="F3" s="334"/>
      <c r="G3" s="334"/>
      <c r="H3" s="334"/>
      <c r="I3" s="334"/>
      <c r="J3" s="334"/>
      <c r="K3" s="334"/>
      <c r="L3" s="334"/>
      <c r="M3" s="334"/>
      <c r="N3" s="334"/>
      <c r="O3" s="334"/>
      <c r="P3" s="334"/>
      <c r="Q3" s="334"/>
    </row>
    <row r="4" spans="1:17" s="10" customFormat="1" ht="23.25" customHeight="1">
      <c r="A4" s="326" t="s">
        <v>283</v>
      </c>
      <c r="B4" s="326"/>
      <c r="C4" s="326"/>
      <c r="D4" s="326"/>
      <c r="E4" s="326"/>
      <c r="F4" s="326"/>
      <c r="G4" s="326"/>
      <c r="H4" s="326"/>
      <c r="I4" s="326"/>
      <c r="J4" s="326"/>
      <c r="K4" s="326"/>
      <c r="L4" s="326"/>
      <c r="M4" s="326"/>
      <c r="N4" s="326"/>
      <c r="O4" s="326"/>
      <c r="P4" s="326"/>
      <c r="Q4" s="326"/>
    </row>
    <row r="5" spans="1:210" s="10" customFormat="1" ht="16.5">
      <c r="A5" s="3"/>
      <c r="B5" s="3"/>
      <c r="C5" s="3"/>
      <c r="D5" s="3"/>
      <c r="E5" s="3"/>
      <c r="F5" s="3"/>
      <c r="G5" s="3"/>
      <c r="H5" s="3"/>
      <c r="I5" s="3"/>
      <c r="J5" s="3"/>
      <c r="K5" s="3"/>
      <c r="L5" s="11"/>
      <c r="M5" s="3"/>
      <c r="N5" s="3"/>
      <c r="O5" s="3"/>
      <c r="P5" s="3"/>
      <c r="Q5" s="14"/>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row>
    <row r="6" spans="1:17" ht="15" customHeight="1">
      <c r="A6" s="327"/>
      <c r="B6" s="328"/>
      <c r="C6" s="324" t="s">
        <v>14</v>
      </c>
      <c r="D6" s="324"/>
      <c r="E6" s="324"/>
      <c r="F6" s="324"/>
      <c r="G6" s="324"/>
      <c r="H6" s="324"/>
      <c r="I6" s="324"/>
      <c r="J6" s="324"/>
      <c r="K6" s="324"/>
      <c r="L6" s="324"/>
      <c r="M6" s="333" t="s">
        <v>130</v>
      </c>
      <c r="N6" s="333"/>
      <c r="O6" s="333"/>
      <c r="P6" s="333"/>
      <c r="Q6" s="333"/>
    </row>
    <row r="7" spans="1:17" s="42" customFormat="1" ht="12.75">
      <c r="A7" s="329"/>
      <c r="B7" s="330"/>
      <c r="C7" s="324" t="s">
        <v>59</v>
      </c>
      <c r="D7" s="324"/>
      <c r="E7" s="324"/>
      <c r="F7" s="324"/>
      <c r="G7" s="324"/>
      <c r="H7" s="324"/>
      <c r="I7" s="324" t="s">
        <v>46</v>
      </c>
      <c r="J7" s="336" t="s">
        <v>47</v>
      </c>
      <c r="K7" s="336"/>
      <c r="L7" s="336"/>
      <c r="M7" s="325" t="s">
        <v>131</v>
      </c>
      <c r="N7" s="325" t="s">
        <v>132</v>
      </c>
      <c r="O7" s="325" t="s">
        <v>48</v>
      </c>
      <c r="P7" s="325" t="s">
        <v>49</v>
      </c>
      <c r="Q7" s="289" t="s">
        <v>159</v>
      </c>
    </row>
    <row r="8" spans="1:17" s="42" customFormat="1" ht="25.5" customHeight="1">
      <c r="A8" s="329"/>
      <c r="B8" s="330"/>
      <c r="C8" s="323" t="s">
        <v>15</v>
      </c>
      <c r="D8" s="323"/>
      <c r="E8" s="323" t="s">
        <v>16</v>
      </c>
      <c r="F8" s="323"/>
      <c r="G8" s="323" t="s">
        <v>17</v>
      </c>
      <c r="H8" s="323"/>
      <c r="I8" s="325"/>
      <c r="J8" s="336"/>
      <c r="K8" s="336"/>
      <c r="L8" s="336"/>
      <c r="M8" s="325"/>
      <c r="N8" s="325"/>
      <c r="O8" s="325"/>
      <c r="P8" s="325"/>
      <c r="Q8" s="290"/>
    </row>
    <row r="9" spans="1:17" s="42" customFormat="1" ht="17.25" customHeight="1">
      <c r="A9" s="329"/>
      <c r="B9" s="330"/>
      <c r="C9" s="325" t="s">
        <v>50</v>
      </c>
      <c r="D9" s="325" t="s">
        <v>51</v>
      </c>
      <c r="E9" s="323" t="s">
        <v>52</v>
      </c>
      <c r="F9" s="323" t="s">
        <v>53</v>
      </c>
      <c r="G9" s="323" t="s">
        <v>52</v>
      </c>
      <c r="H9" s="323" t="s">
        <v>53</v>
      </c>
      <c r="I9" s="325"/>
      <c r="J9" s="323" t="s">
        <v>9</v>
      </c>
      <c r="K9" s="323" t="s">
        <v>44</v>
      </c>
      <c r="L9" s="323"/>
      <c r="M9" s="325"/>
      <c r="N9" s="325"/>
      <c r="O9" s="325"/>
      <c r="P9" s="325"/>
      <c r="Q9" s="290"/>
    </row>
    <row r="10" spans="1:17" s="42" customFormat="1" ht="65.25" customHeight="1">
      <c r="A10" s="331"/>
      <c r="B10" s="332"/>
      <c r="C10" s="325"/>
      <c r="D10" s="325"/>
      <c r="E10" s="323"/>
      <c r="F10" s="323"/>
      <c r="G10" s="323"/>
      <c r="H10" s="323"/>
      <c r="I10" s="325"/>
      <c r="J10" s="323"/>
      <c r="K10" s="36" t="s">
        <v>1</v>
      </c>
      <c r="L10" s="36" t="s">
        <v>0</v>
      </c>
      <c r="M10" s="325"/>
      <c r="N10" s="325"/>
      <c r="O10" s="325"/>
      <c r="P10" s="325"/>
      <c r="Q10" s="295"/>
    </row>
    <row r="11" spans="1:17" s="42" customFormat="1" ht="12.75">
      <c r="A11" s="323" t="s">
        <v>40</v>
      </c>
      <c r="B11" s="323"/>
      <c r="C11" s="48">
        <v>1</v>
      </c>
      <c r="D11" s="48">
        <v>2</v>
      </c>
      <c r="E11" s="48">
        <v>3</v>
      </c>
      <c r="F11" s="48">
        <v>4</v>
      </c>
      <c r="G11" s="48">
        <v>5</v>
      </c>
      <c r="H11" s="48">
        <v>6</v>
      </c>
      <c r="I11" s="48">
        <v>7</v>
      </c>
      <c r="J11" s="48">
        <v>8</v>
      </c>
      <c r="K11" s="48">
        <v>9</v>
      </c>
      <c r="L11" s="48">
        <v>10</v>
      </c>
      <c r="M11" s="48">
        <v>11</v>
      </c>
      <c r="N11" s="48">
        <v>12</v>
      </c>
      <c r="O11" s="48">
        <v>13</v>
      </c>
      <c r="P11" s="48">
        <v>14</v>
      </c>
      <c r="Q11" s="48">
        <v>15</v>
      </c>
    </row>
    <row r="12" spans="1:17" s="153" customFormat="1" ht="27" customHeight="1">
      <c r="A12" s="335" t="s">
        <v>97</v>
      </c>
      <c r="B12" s="335"/>
      <c r="C12" s="152">
        <f>C13+C34</f>
        <v>762273</v>
      </c>
      <c r="D12" s="152">
        <f aca="true" t="shared" si="0" ref="D12:P12">D13+D34</f>
        <v>74760876</v>
      </c>
      <c r="E12" s="152">
        <f t="shared" si="0"/>
        <v>37566</v>
      </c>
      <c r="F12" s="152">
        <f t="shared" si="0"/>
        <v>1434860</v>
      </c>
      <c r="G12" s="152">
        <f t="shared" si="0"/>
        <v>42285</v>
      </c>
      <c r="H12" s="152">
        <f t="shared" si="0"/>
        <v>7638761</v>
      </c>
      <c r="I12" s="152">
        <f t="shared" si="0"/>
        <v>39414178</v>
      </c>
      <c r="J12" s="152">
        <f t="shared" si="0"/>
        <v>128043</v>
      </c>
      <c r="K12" s="152">
        <f t="shared" si="0"/>
        <v>107592</v>
      </c>
      <c r="L12" s="152">
        <f t="shared" si="0"/>
        <v>22174</v>
      </c>
      <c r="M12" s="152">
        <f t="shared" si="0"/>
        <v>119936</v>
      </c>
      <c r="N12" s="152">
        <f t="shared" si="0"/>
        <v>628375</v>
      </c>
      <c r="O12" s="152">
        <f t="shared" si="0"/>
        <v>181337</v>
      </c>
      <c r="P12" s="152">
        <f t="shared" si="0"/>
        <v>138401</v>
      </c>
      <c r="Q12" s="216">
        <f>P12/O12*100%</f>
        <v>0.7632253759574714</v>
      </c>
    </row>
    <row r="13" spans="1:17" s="42" customFormat="1" ht="37.5" customHeight="1">
      <c r="A13" s="276" t="s">
        <v>87</v>
      </c>
      <c r="B13" s="277"/>
      <c r="C13" s="205">
        <f>SUM(C14:C33)</f>
        <v>14482</v>
      </c>
      <c r="D13" s="205">
        <f aca="true" t="shared" si="1" ref="D13:L13">SUM(D14:D33)</f>
        <v>20118278</v>
      </c>
      <c r="E13" s="205">
        <f t="shared" si="1"/>
        <v>0</v>
      </c>
      <c r="F13" s="205">
        <f t="shared" si="1"/>
        <v>0</v>
      </c>
      <c r="G13" s="205">
        <f t="shared" si="1"/>
        <v>4357</v>
      </c>
      <c r="H13" s="205">
        <f t="shared" si="1"/>
        <v>1875502</v>
      </c>
      <c r="I13" s="205">
        <f t="shared" si="1"/>
        <v>4564343</v>
      </c>
      <c r="J13" s="205">
        <f t="shared" si="1"/>
        <v>169</v>
      </c>
      <c r="K13" s="205">
        <f t="shared" si="1"/>
        <v>0</v>
      </c>
      <c r="L13" s="205">
        <f t="shared" si="1"/>
        <v>169</v>
      </c>
      <c r="M13" s="272">
        <v>0</v>
      </c>
      <c r="N13" s="74">
        <v>0</v>
      </c>
      <c r="O13" s="74">
        <v>0</v>
      </c>
      <c r="P13" s="74">
        <v>0</v>
      </c>
      <c r="Q13" s="74">
        <v>0</v>
      </c>
    </row>
    <row r="14" spans="1:17" s="29" customFormat="1" ht="25.5">
      <c r="A14" s="103">
        <v>1</v>
      </c>
      <c r="B14" s="104" t="s">
        <v>228</v>
      </c>
      <c r="C14" s="65">
        <f>870+1831+9308</f>
        <v>12009</v>
      </c>
      <c r="D14" s="65">
        <f>203580+135633+376900</f>
        <v>716113</v>
      </c>
      <c r="E14" s="74">
        <v>0</v>
      </c>
      <c r="F14" s="74">
        <v>0</v>
      </c>
      <c r="G14" s="65">
        <v>1819</v>
      </c>
      <c r="H14" s="65">
        <v>163067</v>
      </c>
      <c r="I14" s="65">
        <f>2269+141845+1830</f>
        <v>145944</v>
      </c>
      <c r="J14" s="65">
        <f>K14+L14</f>
        <v>55</v>
      </c>
      <c r="K14" s="65">
        <v>0</v>
      </c>
      <c r="L14" s="65">
        <v>55</v>
      </c>
      <c r="M14" s="74">
        <v>0</v>
      </c>
      <c r="N14" s="74">
        <v>0</v>
      </c>
      <c r="O14" s="74">
        <v>0</v>
      </c>
      <c r="P14" s="74">
        <v>0</v>
      </c>
      <c r="Q14" s="74">
        <v>0</v>
      </c>
    </row>
    <row r="15" spans="1:17" s="29" customFormat="1" ht="25.5">
      <c r="A15" s="103">
        <v>2</v>
      </c>
      <c r="B15" s="104" t="s">
        <v>192</v>
      </c>
      <c r="C15" s="65"/>
      <c r="D15" s="65"/>
      <c r="E15" s="74">
        <v>0</v>
      </c>
      <c r="F15" s="74">
        <v>0</v>
      </c>
      <c r="G15" s="65"/>
      <c r="H15" s="65"/>
      <c r="I15" s="65"/>
      <c r="J15" s="65"/>
      <c r="K15" s="65">
        <v>0</v>
      </c>
      <c r="L15" s="65"/>
      <c r="M15" s="74">
        <v>0</v>
      </c>
      <c r="N15" s="74">
        <v>0</v>
      </c>
      <c r="O15" s="74">
        <v>0</v>
      </c>
      <c r="P15" s="74">
        <v>0</v>
      </c>
      <c r="Q15" s="74">
        <v>0</v>
      </c>
    </row>
    <row r="16" spans="1:17" s="29" customFormat="1" ht="38.25">
      <c r="A16" s="103">
        <v>3</v>
      </c>
      <c r="B16" s="104" t="s">
        <v>193</v>
      </c>
      <c r="C16" s="65"/>
      <c r="D16" s="65"/>
      <c r="E16" s="74">
        <v>0</v>
      </c>
      <c r="F16" s="74">
        <v>0</v>
      </c>
      <c r="G16" s="65"/>
      <c r="H16" s="65"/>
      <c r="I16" s="65"/>
      <c r="J16" s="65"/>
      <c r="K16" s="65">
        <v>0</v>
      </c>
      <c r="L16" s="65"/>
      <c r="M16" s="74">
        <v>0</v>
      </c>
      <c r="N16" s="74">
        <v>0</v>
      </c>
      <c r="O16" s="74">
        <v>0</v>
      </c>
      <c r="P16" s="74">
        <v>0</v>
      </c>
      <c r="Q16" s="74">
        <v>0</v>
      </c>
    </row>
    <row r="17" spans="1:17" s="29" customFormat="1" ht="38.25">
      <c r="A17" s="103">
        <v>4</v>
      </c>
      <c r="B17" s="104" t="s">
        <v>194</v>
      </c>
      <c r="C17" s="65">
        <v>2</v>
      </c>
      <c r="D17" s="65">
        <v>120</v>
      </c>
      <c r="E17" s="74">
        <v>0</v>
      </c>
      <c r="F17" s="74">
        <v>0</v>
      </c>
      <c r="G17" s="65">
        <v>20</v>
      </c>
      <c r="H17" s="65">
        <v>0</v>
      </c>
      <c r="I17" s="65">
        <v>3000</v>
      </c>
      <c r="J17" s="65">
        <f>K17+L17</f>
        <v>1</v>
      </c>
      <c r="K17" s="65">
        <v>0</v>
      </c>
      <c r="L17" s="65">
        <v>1</v>
      </c>
      <c r="M17" s="74">
        <v>0</v>
      </c>
      <c r="N17" s="74">
        <v>0</v>
      </c>
      <c r="O17" s="74">
        <v>0</v>
      </c>
      <c r="P17" s="74">
        <v>0</v>
      </c>
      <c r="Q17" s="74">
        <v>0</v>
      </c>
    </row>
    <row r="18" spans="1:17" s="29" customFormat="1" ht="38.25">
      <c r="A18" s="103">
        <v>5</v>
      </c>
      <c r="B18" s="104" t="s">
        <v>195</v>
      </c>
      <c r="C18" s="65"/>
      <c r="D18" s="65"/>
      <c r="E18" s="74">
        <v>0</v>
      </c>
      <c r="F18" s="74">
        <v>0</v>
      </c>
      <c r="G18" s="65"/>
      <c r="H18" s="65"/>
      <c r="I18" s="65"/>
      <c r="J18" s="65">
        <f>K18+L18</f>
        <v>50</v>
      </c>
      <c r="K18" s="65">
        <v>0</v>
      </c>
      <c r="L18" s="65">
        <v>50</v>
      </c>
      <c r="M18" s="74">
        <v>0</v>
      </c>
      <c r="N18" s="74">
        <v>0</v>
      </c>
      <c r="O18" s="74">
        <v>0</v>
      </c>
      <c r="P18" s="74">
        <v>0</v>
      </c>
      <c r="Q18" s="74">
        <v>0</v>
      </c>
    </row>
    <row r="19" spans="1:17" s="29" customFormat="1" ht="38.25">
      <c r="A19" s="103">
        <v>6</v>
      </c>
      <c r="B19" s="104" t="s">
        <v>196</v>
      </c>
      <c r="C19" s="65"/>
      <c r="D19" s="65"/>
      <c r="E19" s="74">
        <v>0</v>
      </c>
      <c r="F19" s="74">
        <v>0</v>
      </c>
      <c r="G19" s="65"/>
      <c r="H19" s="65"/>
      <c r="I19" s="65"/>
      <c r="J19" s="65"/>
      <c r="K19" s="65">
        <v>0</v>
      </c>
      <c r="L19" s="65"/>
      <c r="M19" s="74">
        <v>0</v>
      </c>
      <c r="N19" s="74">
        <v>0</v>
      </c>
      <c r="O19" s="74">
        <v>0</v>
      </c>
      <c r="P19" s="74">
        <v>0</v>
      </c>
      <c r="Q19" s="74">
        <v>0</v>
      </c>
    </row>
    <row r="20" spans="1:17" s="29" customFormat="1" ht="63.75">
      <c r="A20" s="103">
        <v>7</v>
      </c>
      <c r="B20" s="104" t="s">
        <v>197</v>
      </c>
      <c r="C20" s="65"/>
      <c r="D20" s="65"/>
      <c r="E20" s="74">
        <v>0</v>
      </c>
      <c r="F20" s="74">
        <v>0</v>
      </c>
      <c r="G20" s="65"/>
      <c r="H20" s="65"/>
      <c r="I20" s="65"/>
      <c r="J20" s="65"/>
      <c r="K20" s="65">
        <v>0</v>
      </c>
      <c r="L20" s="65"/>
      <c r="M20" s="74">
        <v>0</v>
      </c>
      <c r="N20" s="74">
        <v>0</v>
      </c>
      <c r="O20" s="74">
        <v>0</v>
      </c>
      <c r="P20" s="74">
        <v>0</v>
      </c>
      <c r="Q20" s="74">
        <v>0</v>
      </c>
    </row>
    <row r="21" spans="1:17" s="29" customFormat="1" ht="25.5">
      <c r="A21" s="103">
        <v>8</v>
      </c>
      <c r="B21" s="104" t="s">
        <v>198</v>
      </c>
      <c r="C21" s="65"/>
      <c r="D21" s="65"/>
      <c r="E21" s="74">
        <v>0</v>
      </c>
      <c r="F21" s="74">
        <v>0</v>
      </c>
      <c r="G21" s="65"/>
      <c r="H21" s="65"/>
      <c r="I21" s="65"/>
      <c r="J21" s="65"/>
      <c r="K21" s="65">
        <v>0</v>
      </c>
      <c r="L21" s="65"/>
      <c r="M21" s="74">
        <v>0</v>
      </c>
      <c r="N21" s="74">
        <v>0</v>
      </c>
      <c r="O21" s="74">
        <v>0</v>
      </c>
      <c r="P21" s="74">
        <v>0</v>
      </c>
      <c r="Q21" s="74">
        <v>0</v>
      </c>
    </row>
    <row r="22" spans="1:17" s="29" customFormat="1" ht="15.75">
      <c r="A22" s="103">
        <v>9</v>
      </c>
      <c r="B22" s="104" t="s">
        <v>199</v>
      </c>
      <c r="C22" s="65"/>
      <c r="D22" s="65"/>
      <c r="E22" s="74">
        <v>0</v>
      </c>
      <c r="F22" s="74">
        <v>0</v>
      </c>
      <c r="G22" s="65"/>
      <c r="H22" s="65"/>
      <c r="I22" s="65"/>
      <c r="J22" s="65"/>
      <c r="K22" s="65">
        <v>0</v>
      </c>
      <c r="L22" s="65"/>
      <c r="M22" s="74">
        <v>0</v>
      </c>
      <c r="N22" s="74">
        <v>0</v>
      </c>
      <c r="O22" s="74">
        <v>0</v>
      </c>
      <c r="P22" s="74">
        <v>0</v>
      </c>
      <c r="Q22" s="74">
        <v>0</v>
      </c>
    </row>
    <row r="23" spans="1:17" s="29" customFormat="1" ht="51">
      <c r="A23" s="103">
        <v>10</v>
      </c>
      <c r="B23" s="104" t="s">
        <v>200</v>
      </c>
      <c r="C23" s="65"/>
      <c r="D23" s="65"/>
      <c r="E23" s="74">
        <v>0</v>
      </c>
      <c r="F23" s="74">
        <v>0</v>
      </c>
      <c r="G23" s="65"/>
      <c r="H23" s="65"/>
      <c r="I23" s="65"/>
      <c r="J23" s="65"/>
      <c r="K23" s="65">
        <v>0</v>
      </c>
      <c r="L23" s="65"/>
      <c r="M23" s="74">
        <v>0</v>
      </c>
      <c r="N23" s="74">
        <v>0</v>
      </c>
      <c r="O23" s="74">
        <v>0</v>
      </c>
      <c r="P23" s="74">
        <v>0</v>
      </c>
      <c r="Q23" s="74">
        <v>0</v>
      </c>
    </row>
    <row r="24" spans="1:17" s="29" customFormat="1" ht="25.5">
      <c r="A24" s="103">
        <v>11</v>
      </c>
      <c r="B24" s="104" t="s">
        <v>229</v>
      </c>
      <c r="C24" s="65">
        <v>2471</v>
      </c>
      <c r="D24" s="89">
        <v>19402045</v>
      </c>
      <c r="E24" s="74">
        <v>0</v>
      </c>
      <c r="F24" s="74">
        <v>0</v>
      </c>
      <c r="G24" s="65">
        <v>2518</v>
      </c>
      <c r="H24" s="89">
        <v>1712435</v>
      </c>
      <c r="I24" s="89">
        <v>4415399</v>
      </c>
      <c r="J24" s="65">
        <f>K24+L24</f>
        <v>63</v>
      </c>
      <c r="K24" s="65">
        <v>0</v>
      </c>
      <c r="L24" s="65">
        <v>63</v>
      </c>
      <c r="M24" s="74">
        <v>0</v>
      </c>
      <c r="N24" s="74">
        <v>0</v>
      </c>
      <c r="O24" s="74">
        <v>0</v>
      </c>
      <c r="P24" s="74">
        <v>0</v>
      </c>
      <c r="Q24" s="74">
        <v>0</v>
      </c>
    </row>
    <row r="25" spans="1:17" s="29" customFormat="1" ht="25.5">
      <c r="A25" s="103">
        <v>12</v>
      </c>
      <c r="B25" s="104" t="s">
        <v>184</v>
      </c>
      <c r="C25" s="65"/>
      <c r="D25" s="65"/>
      <c r="E25" s="74">
        <v>0</v>
      </c>
      <c r="F25" s="74">
        <v>0</v>
      </c>
      <c r="G25" s="65"/>
      <c r="H25" s="65"/>
      <c r="I25" s="65"/>
      <c r="J25" s="65"/>
      <c r="K25" s="65">
        <v>0</v>
      </c>
      <c r="L25" s="65"/>
      <c r="M25" s="74">
        <v>0</v>
      </c>
      <c r="N25" s="74">
        <v>0</v>
      </c>
      <c r="O25" s="74">
        <v>0</v>
      </c>
      <c r="P25" s="74">
        <v>0</v>
      </c>
      <c r="Q25" s="74">
        <v>0</v>
      </c>
    </row>
    <row r="26" spans="1:17" s="29" customFormat="1" ht="38.25">
      <c r="A26" s="103">
        <v>13</v>
      </c>
      <c r="B26" s="104" t="s">
        <v>185</v>
      </c>
      <c r="C26" s="65"/>
      <c r="D26" s="65"/>
      <c r="E26" s="74">
        <v>0</v>
      </c>
      <c r="F26" s="74">
        <v>0</v>
      </c>
      <c r="G26" s="65"/>
      <c r="H26" s="65"/>
      <c r="I26" s="65"/>
      <c r="J26" s="65"/>
      <c r="K26" s="65">
        <v>0</v>
      </c>
      <c r="L26" s="65"/>
      <c r="M26" s="74">
        <v>0</v>
      </c>
      <c r="N26" s="74">
        <v>0</v>
      </c>
      <c r="O26" s="74">
        <v>0</v>
      </c>
      <c r="P26" s="74">
        <v>0</v>
      </c>
      <c r="Q26" s="74">
        <v>0</v>
      </c>
    </row>
    <row r="27" spans="1:17" s="29" customFormat="1" ht="51">
      <c r="A27" s="103">
        <v>14</v>
      </c>
      <c r="B27" s="104" t="s">
        <v>186</v>
      </c>
      <c r="C27" s="65"/>
      <c r="D27" s="65"/>
      <c r="E27" s="74">
        <v>0</v>
      </c>
      <c r="F27" s="74">
        <v>0</v>
      </c>
      <c r="G27" s="65"/>
      <c r="H27" s="65"/>
      <c r="I27" s="65"/>
      <c r="J27" s="65"/>
      <c r="K27" s="65">
        <v>0</v>
      </c>
      <c r="L27" s="65"/>
      <c r="M27" s="74">
        <v>0</v>
      </c>
      <c r="N27" s="74">
        <v>0</v>
      </c>
      <c r="O27" s="74">
        <v>0</v>
      </c>
      <c r="P27" s="74">
        <v>0</v>
      </c>
      <c r="Q27" s="74">
        <v>0</v>
      </c>
    </row>
    <row r="28" spans="1:17" s="29" customFormat="1" ht="51">
      <c r="A28" s="103">
        <v>15</v>
      </c>
      <c r="B28" s="104" t="s">
        <v>187</v>
      </c>
      <c r="C28" s="65"/>
      <c r="D28" s="65"/>
      <c r="E28" s="74">
        <v>0</v>
      </c>
      <c r="F28" s="74">
        <v>0</v>
      </c>
      <c r="G28" s="65"/>
      <c r="H28" s="65"/>
      <c r="I28" s="65"/>
      <c r="J28" s="65"/>
      <c r="K28" s="65">
        <v>0</v>
      </c>
      <c r="L28" s="65"/>
      <c r="M28" s="74">
        <v>0</v>
      </c>
      <c r="N28" s="74">
        <v>0</v>
      </c>
      <c r="O28" s="74">
        <v>0</v>
      </c>
      <c r="P28" s="74">
        <v>0</v>
      </c>
      <c r="Q28" s="74">
        <v>0</v>
      </c>
    </row>
    <row r="29" spans="1:17" s="29" customFormat="1" ht="25.5">
      <c r="A29" s="103">
        <v>16</v>
      </c>
      <c r="B29" s="104" t="s">
        <v>188</v>
      </c>
      <c r="C29" s="65"/>
      <c r="D29" s="65"/>
      <c r="E29" s="74">
        <v>0</v>
      </c>
      <c r="F29" s="74">
        <v>0</v>
      </c>
      <c r="G29" s="65"/>
      <c r="H29" s="65"/>
      <c r="I29" s="65"/>
      <c r="J29" s="65"/>
      <c r="K29" s="65">
        <v>0</v>
      </c>
      <c r="L29" s="65"/>
      <c r="M29" s="74">
        <v>0</v>
      </c>
      <c r="N29" s="74">
        <v>0</v>
      </c>
      <c r="O29" s="74">
        <v>0</v>
      </c>
      <c r="P29" s="74">
        <v>0</v>
      </c>
      <c r="Q29" s="74">
        <v>0</v>
      </c>
    </row>
    <row r="30" spans="1:17" s="29" customFormat="1" ht="18" customHeight="1">
      <c r="A30" s="103">
        <v>17</v>
      </c>
      <c r="B30" s="104" t="s">
        <v>227</v>
      </c>
      <c r="C30" s="65"/>
      <c r="D30" s="65"/>
      <c r="E30" s="74">
        <v>0</v>
      </c>
      <c r="F30" s="74">
        <v>0</v>
      </c>
      <c r="G30" s="65"/>
      <c r="H30" s="65"/>
      <c r="I30" s="65"/>
      <c r="J30" s="65"/>
      <c r="K30" s="65">
        <v>0</v>
      </c>
      <c r="L30" s="65"/>
      <c r="M30" s="74">
        <v>0</v>
      </c>
      <c r="N30" s="74">
        <v>0</v>
      </c>
      <c r="O30" s="74">
        <v>0</v>
      </c>
      <c r="P30" s="74">
        <v>0</v>
      </c>
      <c r="Q30" s="74">
        <v>0</v>
      </c>
    </row>
    <row r="31" spans="1:17" s="29" customFormat="1" ht="38.25">
      <c r="A31" s="103">
        <v>18</v>
      </c>
      <c r="B31" s="105" t="s">
        <v>189</v>
      </c>
      <c r="C31" s="65"/>
      <c r="D31" s="65"/>
      <c r="E31" s="74">
        <v>0</v>
      </c>
      <c r="F31" s="74">
        <v>0</v>
      </c>
      <c r="G31" s="65"/>
      <c r="H31" s="65"/>
      <c r="I31" s="65"/>
      <c r="J31" s="65"/>
      <c r="K31" s="65">
        <v>0</v>
      </c>
      <c r="L31" s="65"/>
      <c r="M31" s="74">
        <v>0</v>
      </c>
      <c r="N31" s="74">
        <v>0</v>
      </c>
      <c r="O31" s="74">
        <v>0</v>
      </c>
      <c r="P31" s="74">
        <v>0</v>
      </c>
      <c r="Q31" s="74">
        <v>0</v>
      </c>
    </row>
    <row r="32" spans="1:17" s="29" customFormat="1" ht="25.5">
      <c r="A32" s="103">
        <v>19</v>
      </c>
      <c r="B32" s="105" t="s">
        <v>190</v>
      </c>
      <c r="C32" s="65"/>
      <c r="D32" s="65"/>
      <c r="E32" s="74">
        <v>0</v>
      </c>
      <c r="F32" s="74">
        <v>0</v>
      </c>
      <c r="G32" s="65"/>
      <c r="H32" s="65"/>
      <c r="I32" s="65"/>
      <c r="J32" s="65"/>
      <c r="K32" s="65">
        <v>0</v>
      </c>
      <c r="L32" s="65"/>
      <c r="M32" s="74">
        <v>0</v>
      </c>
      <c r="N32" s="74">
        <v>0</v>
      </c>
      <c r="O32" s="74">
        <v>0</v>
      </c>
      <c r="P32" s="74">
        <v>0</v>
      </c>
      <c r="Q32" s="74">
        <v>0</v>
      </c>
    </row>
    <row r="33" spans="1:17" s="29" customFormat="1" ht="25.5">
      <c r="A33" s="103">
        <v>20</v>
      </c>
      <c r="B33" s="105" t="s">
        <v>256</v>
      </c>
      <c r="C33" s="65"/>
      <c r="D33" s="65"/>
      <c r="E33" s="74">
        <v>0</v>
      </c>
      <c r="F33" s="74">
        <v>0</v>
      </c>
      <c r="G33" s="65"/>
      <c r="H33" s="65"/>
      <c r="I33" s="65"/>
      <c r="J33" s="65"/>
      <c r="K33" s="65">
        <v>0</v>
      </c>
      <c r="L33" s="65"/>
      <c r="M33" s="74">
        <v>0</v>
      </c>
      <c r="N33" s="74">
        <v>0</v>
      </c>
      <c r="O33" s="74">
        <v>0</v>
      </c>
      <c r="P33" s="74">
        <v>0</v>
      </c>
      <c r="Q33" s="74">
        <v>0</v>
      </c>
    </row>
    <row r="34" spans="1:17" s="141" customFormat="1" ht="29.25" customHeight="1">
      <c r="A34" s="321" t="s">
        <v>276</v>
      </c>
      <c r="B34" s="322"/>
      <c r="C34" s="217">
        <f aca="true" t="shared" si="2" ref="C34:P34">SUM(C35:C97)</f>
        <v>747791</v>
      </c>
      <c r="D34" s="217">
        <f t="shared" si="2"/>
        <v>54642598</v>
      </c>
      <c r="E34" s="217">
        <f t="shared" si="2"/>
        <v>37566</v>
      </c>
      <c r="F34" s="217">
        <f t="shared" si="2"/>
        <v>1434860</v>
      </c>
      <c r="G34" s="217">
        <f t="shared" si="2"/>
        <v>37928</v>
      </c>
      <c r="H34" s="217">
        <f t="shared" si="2"/>
        <v>5763259</v>
      </c>
      <c r="I34" s="206">
        <f t="shared" si="2"/>
        <v>34849835</v>
      </c>
      <c r="J34" s="217">
        <f t="shared" si="2"/>
        <v>127874</v>
      </c>
      <c r="K34" s="217">
        <f t="shared" si="2"/>
        <v>107592</v>
      </c>
      <c r="L34" s="217">
        <f t="shared" si="2"/>
        <v>22005</v>
      </c>
      <c r="M34" s="217">
        <f t="shared" si="2"/>
        <v>119936</v>
      </c>
      <c r="N34" s="217">
        <f t="shared" si="2"/>
        <v>628375</v>
      </c>
      <c r="O34" s="217">
        <f t="shared" si="2"/>
        <v>181337</v>
      </c>
      <c r="P34" s="217">
        <f t="shared" si="2"/>
        <v>138401</v>
      </c>
      <c r="Q34" s="216">
        <f>P34/O34*100%</f>
        <v>0.7632253759574714</v>
      </c>
    </row>
    <row r="35" spans="1:17" s="29" customFormat="1" ht="18" customHeight="1">
      <c r="A35" s="93">
        <v>1</v>
      </c>
      <c r="B35" s="94" t="s">
        <v>167</v>
      </c>
      <c r="C35" s="65">
        <v>26495</v>
      </c>
      <c r="D35" s="65">
        <v>993102</v>
      </c>
      <c r="E35" s="65">
        <v>540</v>
      </c>
      <c r="F35" s="65">
        <v>65738</v>
      </c>
      <c r="G35" s="65">
        <v>962</v>
      </c>
      <c r="H35" s="65">
        <v>69855</v>
      </c>
      <c r="I35" s="89">
        <v>1525008</v>
      </c>
      <c r="J35" s="65" t="s">
        <v>280</v>
      </c>
      <c r="K35" s="65">
        <v>1457</v>
      </c>
      <c r="L35" s="65">
        <f>130+136</f>
        <v>266</v>
      </c>
      <c r="M35" s="65">
        <v>913</v>
      </c>
      <c r="N35" s="65">
        <v>7831</v>
      </c>
      <c r="O35" s="65">
        <v>5903</v>
      </c>
      <c r="P35" s="65">
        <v>4765</v>
      </c>
      <c r="Q35" s="218">
        <f>P35/O35*100%</f>
        <v>0.8072166694900897</v>
      </c>
    </row>
    <row r="36" spans="1:17" s="29" customFormat="1" ht="26.25">
      <c r="A36" s="93">
        <v>2</v>
      </c>
      <c r="B36" s="94" t="s">
        <v>251</v>
      </c>
      <c r="C36" s="65">
        <v>2557</v>
      </c>
      <c r="D36" s="65">
        <v>243426</v>
      </c>
      <c r="E36" s="65">
        <v>216</v>
      </c>
      <c r="F36" s="65">
        <v>12122</v>
      </c>
      <c r="G36" s="65">
        <v>62</v>
      </c>
      <c r="H36" s="65"/>
      <c r="I36" s="65">
        <v>367517</v>
      </c>
      <c r="J36" s="65">
        <f aca="true" t="shared" si="3" ref="J36:J97">K36+L36</f>
        <v>800</v>
      </c>
      <c r="K36" s="65">
        <v>661</v>
      </c>
      <c r="L36" s="65">
        <f>125+14</f>
        <v>139</v>
      </c>
      <c r="M36" s="65">
        <v>667</v>
      </c>
      <c r="N36" s="65">
        <v>4046</v>
      </c>
      <c r="O36" s="65">
        <v>2396</v>
      </c>
      <c r="P36" s="65">
        <v>1355</v>
      </c>
      <c r="Q36" s="218">
        <f aca="true" t="shared" si="4" ref="Q36:Q97">P36/O36*100%</f>
        <v>0.5655258764607679</v>
      </c>
    </row>
    <row r="37" spans="1:17" s="29" customFormat="1" ht="18" customHeight="1">
      <c r="A37" s="93">
        <v>3</v>
      </c>
      <c r="B37" s="94" t="s">
        <v>168</v>
      </c>
      <c r="C37" s="65">
        <v>3980</v>
      </c>
      <c r="D37" s="65">
        <v>113461</v>
      </c>
      <c r="E37" s="148">
        <v>230</v>
      </c>
      <c r="F37" s="65">
        <v>16155</v>
      </c>
      <c r="G37" s="65">
        <v>372</v>
      </c>
      <c r="H37" s="65">
        <v>5140</v>
      </c>
      <c r="I37" s="65">
        <v>120743</v>
      </c>
      <c r="J37" s="65">
        <f t="shared" si="3"/>
        <v>1773</v>
      </c>
      <c r="K37" s="65">
        <v>1566</v>
      </c>
      <c r="L37" s="65">
        <f>175+32</f>
        <v>207</v>
      </c>
      <c r="M37" s="65">
        <v>2520</v>
      </c>
      <c r="N37" s="65">
        <v>15545</v>
      </c>
      <c r="O37" s="65">
        <v>2499</v>
      </c>
      <c r="P37" s="65">
        <v>1918</v>
      </c>
      <c r="Q37" s="218">
        <f t="shared" si="4"/>
        <v>0.7675070028011205</v>
      </c>
    </row>
    <row r="38" spans="1:17" s="29" customFormat="1" ht="18" customHeight="1">
      <c r="A38" s="93">
        <v>4</v>
      </c>
      <c r="B38" s="94" t="s">
        <v>169</v>
      </c>
      <c r="C38" s="65">
        <v>3681</v>
      </c>
      <c r="D38" s="65">
        <v>146385</v>
      </c>
      <c r="E38" s="65">
        <v>631</v>
      </c>
      <c r="F38" s="65">
        <v>2158</v>
      </c>
      <c r="G38" s="65">
        <v>320</v>
      </c>
      <c r="H38" s="65">
        <v>8853</v>
      </c>
      <c r="I38" s="65">
        <v>19664</v>
      </c>
      <c r="J38" s="65">
        <f t="shared" si="3"/>
        <v>1859</v>
      </c>
      <c r="K38" s="65">
        <v>1327</v>
      </c>
      <c r="L38" s="65">
        <f>382+150</f>
        <v>532</v>
      </c>
      <c r="M38" s="65">
        <v>1423</v>
      </c>
      <c r="N38" s="65">
        <v>6732</v>
      </c>
      <c r="O38" s="65">
        <v>794</v>
      </c>
      <c r="P38" s="65">
        <v>558</v>
      </c>
      <c r="Q38" s="218">
        <f t="shared" si="4"/>
        <v>0.7027707808564232</v>
      </c>
    </row>
    <row r="39" spans="1:17" s="29" customFormat="1" ht="18" customHeight="1">
      <c r="A39" s="93">
        <v>5</v>
      </c>
      <c r="B39" s="94" t="s">
        <v>170</v>
      </c>
      <c r="C39" s="65">
        <v>24900</v>
      </c>
      <c r="D39" s="89">
        <v>1302126</v>
      </c>
      <c r="E39" s="65">
        <v>135</v>
      </c>
      <c r="F39" s="65">
        <v>24093</v>
      </c>
      <c r="G39" s="65">
        <v>1282</v>
      </c>
      <c r="H39" s="65">
        <v>100735</v>
      </c>
      <c r="I39" s="65">
        <v>921471</v>
      </c>
      <c r="J39" s="65">
        <f t="shared" si="3"/>
        <v>1415</v>
      </c>
      <c r="K39" s="65">
        <v>1275</v>
      </c>
      <c r="L39" s="65">
        <f>106+34</f>
        <v>140</v>
      </c>
      <c r="M39" s="65">
        <v>541</v>
      </c>
      <c r="N39" s="65">
        <v>2784</v>
      </c>
      <c r="O39" s="65">
        <v>2852</v>
      </c>
      <c r="P39" s="65">
        <v>1913</v>
      </c>
      <c r="Q39" s="218">
        <f t="shared" si="4"/>
        <v>0.6707573632538569</v>
      </c>
    </row>
    <row r="40" spans="1:17" s="29" customFormat="1" ht="18" customHeight="1">
      <c r="A40" s="93">
        <v>6</v>
      </c>
      <c r="B40" s="94" t="s">
        <v>171</v>
      </c>
      <c r="C40" s="65">
        <v>1346</v>
      </c>
      <c r="D40" s="65">
        <v>104650</v>
      </c>
      <c r="E40" s="65">
        <v>507</v>
      </c>
      <c r="F40" s="65">
        <v>51619</v>
      </c>
      <c r="G40" s="65">
        <v>80</v>
      </c>
      <c r="H40" s="65">
        <v>11310</v>
      </c>
      <c r="I40" s="65">
        <v>309247</v>
      </c>
      <c r="J40" s="65">
        <f t="shared" si="3"/>
        <v>508</v>
      </c>
      <c r="K40" s="65">
        <f>314</f>
        <v>314</v>
      </c>
      <c r="L40" s="65">
        <f>141+53</f>
        <v>194</v>
      </c>
      <c r="M40" s="65">
        <v>943</v>
      </c>
      <c r="N40" s="65">
        <v>6230</v>
      </c>
      <c r="O40" s="65">
        <v>1236</v>
      </c>
      <c r="P40" s="65">
        <v>826</v>
      </c>
      <c r="Q40" s="218">
        <f t="shared" si="4"/>
        <v>0.6682847896440129</v>
      </c>
    </row>
    <row r="41" spans="1:17" s="29" customFormat="1" ht="18" customHeight="1">
      <c r="A41" s="93">
        <v>7</v>
      </c>
      <c r="B41" s="94" t="s">
        <v>172</v>
      </c>
      <c r="C41" s="65">
        <v>79642</v>
      </c>
      <c r="D41" s="148">
        <v>2336640</v>
      </c>
      <c r="E41" s="65">
        <v>465</v>
      </c>
      <c r="F41" s="65">
        <v>9042</v>
      </c>
      <c r="G41" s="65">
        <v>183</v>
      </c>
      <c r="H41" s="65">
        <v>2043</v>
      </c>
      <c r="I41" s="65">
        <v>269008</v>
      </c>
      <c r="J41" s="65">
        <f t="shared" si="3"/>
        <v>2715</v>
      </c>
      <c r="K41" s="65">
        <v>2516</v>
      </c>
      <c r="L41" s="65">
        <f>103+96</f>
        <v>199</v>
      </c>
      <c r="M41" s="65">
        <v>985</v>
      </c>
      <c r="N41" s="65">
        <v>7866</v>
      </c>
      <c r="O41" s="65">
        <v>3208</v>
      </c>
      <c r="P41" s="65">
        <v>2578</v>
      </c>
      <c r="Q41" s="218">
        <f t="shared" si="4"/>
        <v>0.8036159600997507</v>
      </c>
    </row>
    <row r="42" spans="1:17" s="29" customFormat="1" ht="18" customHeight="1">
      <c r="A42" s="93">
        <v>8</v>
      </c>
      <c r="B42" s="94" t="s">
        <v>173</v>
      </c>
      <c r="C42" s="65">
        <v>8177</v>
      </c>
      <c r="D42" s="148">
        <v>1128181</v>
      </c>
      <c r="E42" s="65">
        <v>344</v>
      </c>
      <c r="F42" s="65">
        <v>12207</v>
      </c>
      <c r="G42" s="65">
        <v>319</v>
      </c>
      <c r="H42" s="65">
        <v>64901</v>
      </c>
      <c r="I42" s="65">
        <v>327662</v>
      </c>
      <c r="J42" s="65">
        <f t="shared" si="3"/>
        <v>2094</v>
      </c>
      <c r="K42" s="65">
        <f>1721</f>
        <v>1721</v>
      </c>
      <c r="L42" s="65">
        <f>253+120</f>
        <v>373</v>
      </c>
      <c r="M42" s="65">
        <v>1148</v>
      </c>
      <c r="N42" s="65">
        <v>8324</v>
      </c>
      <c r="O42" s="65">
        <v>2675</v>
      </c>
      <c r="P42" s="65">
        <v>2108</v>
      </c>
      <c r="Q42" s="218">
        <f t="shared" si="4"/>
        <v>0.7880373831775701</v>
      </c>
    </row>
    <row r="43" spans="1:17" s="29" customFormat="1" ht="31.5" customHeight="1">
      <c r="A43" s="93">
        <v>9</v>
      </c>
      <c r="B43" s="94" t="s">
        <v>174</v>
      </c>
      <c r="C43" s="65">
        <v>24784</v>
      </c>
      <c r="D43" s="148">
        <v>1872225</v>
      </c>
      <c r="E43" s="148">
        <v>1058</v>
      </c>
      <c r="F43" s="65">
        <v>3781</v>
      </c>
      <c r="G43" s="65">
        <v>499</v>
      </c>
      <c r="H43" s="65">
        <v>7493</v>
      </c>
      <c r="I43" s="148">
        <v>1606551</v>
      </c>
      <c r="J43" s="65">
        <f t="shared" si="3"/>
        <v>2286</v>
      </c>
      <c r="K43" s="65">
        <v>2156</v>
      </c>
      <c r="L43" s="65">
        <f>119+11</f>
        <v>130</v>
      </c>
      <c r="M43" s="65">
        <v>598</v>
      </c>
      <c r="N43" s="65">
        <v>4806</v>
      </c>
      <c r="O43" s="65">
        <v>1993</v>
      </c>
      <c r="P43" s="65">
        <v>1542</v>
      </c>
      <c r="Q43" s="218">
        <f t="shared" si="4"/>
        <v>0.7737079779227296</v>
      </c>
    </row>
    <row r="44" spans="1:17" s="29" customFormat="1" ht="18" customHeight="1">
      <c r="A44" s="93">
        <v>10</v>
      </c>
      <c r="B44" s="94" t="s">
        <v>175</v>
      </c>
      <c r="C44" s="65">
        <f>486</f>
        <v>486</v>
      </c>
      <c r="D44" s="65">
        <v>6094</v>
      </c>
      <c r="E44" s="65">
        <v>111</v>
      </c>
      <c r="F44" s="65">
        <v>731</v>
      </c>
      <c r="G44" s="65">
        <v>250</v>
      </c>
      <c r="H44" s="65">
        <v>1132</v>
      </c>
      <c r="I44" s="65">
        <v>34133</v>
      </c>
      <c r="J44" s="65">
        <f t="shared" si="3"/>
        <v>429</v>
      </c>
      <c r="K44" s="65">
        <f>230</f>
        <v>230</v>
      </c>
      <c r="L44" s="65">
        <f>146+53</f>
        <v>199</v>
      </c>
      <c r="M44" s="65">
        <v>748</v>
      </c>
      <c r="N44" s="65">
        <v>5451</v>
      </c>
      <c r="O44" s="65">
        <v>2082</v>
      </c>
      <c r="P44" s="65">
        <v>1438</v>
      </c>
      <c r="Q44" s="218">
        <f t="shared" si="4"/>
        <v>0.6906820365033621</v>
      </c>
    </row>
    <row r="45" spans="1:17" s="29" customFormat="1" ht="18" customHeight="1">
      <c r="A45" s="93">
        <v>11</v>
      </c>
      <c r="B45" s="94" t="s">
        <v>176</v>
      </c>
      <c r="C45" s="65">
        <v>15206</v>
      </c>
      <c r="D45" s="148">
        <v>1175229</v>
      </c>
      <c r="E45" s="65">
        <v>107</v>
      </c>
      <c r="F45" s="65">
        <v>11884</v>
      </c>
      <c r="G45" s="65">
        <v>360</v>
      </c>
      <c r="H45" s="65">
        <v>14918</v>
      </c>
      <c r="I45" s="65">
        <v>436222</v>
      </c>
      <c r="J45" s="65">
        <f t="shared" si="3"/>
        <v>725</v>
      </c>
      <c r="K45" s="65">
        <f>533</f>
        <v>533</v>
      </c>
      <c r="L45" s="65">
        <f>120+72</f>
        <v>192</v>
      </c>
      <c r="M45" s="65">
        <v>507</v>
      </c>
      <c r="N45" s="65">
        <v>3514</v>
      </c>
      <c r="O45" s="65">
        <v>2306</v>
      </c>
      <c r="P45" s="65">
        <v>1538</v>
      </c>
      <c r="Q45" s="218">
        <f t="shared" si="4"/>
        <v>0.6669557675628794</v>
      </c>
    </row>
    <row r="46" spans="1:17" s="29" customFormat="1" ht="18" customHeight="1">
      <c r="A46" s="93">
        <v>12</v>
      </c>
      <c r="B46" s="94" t="s">
        <v>177</v>
      </c>
      <c r="C46" s="65">
        <v>30559</v>
      </c>
      <c r="D46" s="148">
        <v>1053406</v>
      </c>
      <c r="E46" s="65">
        <v>231</v>
      </c>
      <c r="F46" s="65">
        <v>40713</v>
      </c>
      <c r="G46" s="65">
        <v>275</v>
      </c>
      <c r="H46" s="65">
        <v>107091</v>
      </c>
      <c r="I46" s="65">
        <v>491927</v>
      </c>
      <c r="J46" s="65">
        <f t="shared" si="3"/>
        <v>1488</v>
      </c>
      <c r="K46" s="65">
        <v>1155</v>
      </c>
      <c r="L46" s="65">
        <f>233+100</f>
        <v>333</v>
      </c>
      <c r="M46" s="65">
        <v>938</v>
      </c>
      <c r="N46" s="65">
        <v>6392</v>
      </c>
      <c r="O46" s="65">
        <v>3777</v>
      </c>
      <c r="P46" s="65">
        <v>3025</v>
      </c>
      <c r="Q46" s="218">
        <f t="shared" si="4"/>
        <v>0.8009001853322743</v>
      </c>
    </row>
    <row r="47" spans="1:17" s="29" customFormat="1" ht="18" customHeight="1">
      <c r="A47" s="93">
        <v>13</v>
      </c>
      <c r="B47" s="94" t="s">
        <v>178</v>
      </c>
      <c r="C47" s="65">
        <v>50781</v>
      </c>
      <c r="D47" s="65">
        <v>959624</v>
      </c>
      <c r="E47" s="148">
        <v>1143</v>
      </c>
      <c r="F47" s="65">
        <v>30190</v>
      </c>
      <c r="G47" s="65">
        <v>2968</v>
      </c>
      <c r="H47" s="65">
        <v>28302</v>
      </c>
      <c r="I47" s="148">
        <v>1282247</v>
      </c>
      <c r="J47" s="65">
        <f t="shared" si="3"/>
        <v>1640</v>
      </c>
      <c r="K47" s="65">
        <v>1005</v>
      </c>
      <c r="L47" s="65">
        <f>266+369</f>
        <v>635</v>
      </c>
      <c r="M47" s="65">
        <v>663</v>
      </c>
      <c r="N47" s="65">
        <v>3989</v>
      </c>
      <c r="O47" s="65">
        <v>3449</v>
      </c>
      <c r="P47" s="65">
        <v>2992</v>
      </c>
      <c r="Q47" s="218">
        <f t="shared" si="4"/>
        <v>0.8674978254566541</v>
      </c>
    </row>
    <row r="48" spans="1:17" s="29" customFormat="1" ht="15.75" customHeight="1">
      <c r="A48" s="93">
        <v>14</v>
      </c>
      <c r="B48" s="94" t="s">
        <v>179</v>
      </c>
      <c r="C48" s="65">
        <f>2108+7</f>
        <v>2115</v>
      </c>
      <c r="D48" s="65">
        <f>95856+452</f>
        <v>96308</v>
      </c>
      <c r="E48" s="65">
        <v>199</v>
      </c>
      <c r="F48" s="65"/>
      <c r="G48" s="65"/>
      <c r="H48" s="65"/>
      <c r="I48" s="65">
        <v>2501</v>
      </c>
      <c r="J48" s="65">
        <f t="shared" si="3"/>
        <v>1299</v>
      </c>
      <c r="K48" s="65">
        <v>995</v>
      </c>
      <c r="L48" s="65">
        <f>225+79</f>
        <v>304</v>
      </c>
      <c r="M48" s="65">
        <v>2470</v>
      </c>
      <c r="N48" s="65">
        <v>11716</v>
      </c>
      <c r="O48" s="65">
        <v>150</v>
      </c>
      <c r="P48" s="65">
        <v>65</v>
      </c>
      <c r="Q48" s="218">
        <f t="shared" si="4"/>
        <v>0.43333333333333335</v>
      </c>
    </row>
    <row r="49" spans="1:17" s="29" customFormat="1" ht="18" customHeight="1">
      <c r="A49" s="93">
        <v>15</v>
      </c>
      <c r="B49" s="94" t="s">
        <v>180</v>
      </c>
      <c r="C49" s="65">
        <f>15+870+5112</f>
        <v>5997</v>
      </c>
      <c r="D49" s="65">
        <f>1200+85229+472526</f>
        <v>558955</v>
      </c>
      <c r="E49" s="65">
        <v>235</v>
      </c>
      <c r="F49" s="65">
        <v>2693</v>
      </c>
      <c r="G49" s="65">
        <f>30+1+58</f>
        <v>89</v>
      </c>
      <c r="H49" s="65">
        <v>4295</v>
      </c>
      <c r="I49" s="65">
        <f>3500+120400+301899</f>
        <v>425799</v>
      </c>
      <c r="J49" s="65">
        <f t="shared" si="3"/>
        <v>1373</v>
      </c>
      <c r="K49" s="65">
        <v>1164</v>
      </c>
      <c r="L49" s="65">
        <f>139+70</f>
        <v>209</v>
      </c>
      <c r="M49" s="65">
        <v>2419</v>
      </c>
      <c r="N49" s="65">
        <v>9863</v>
      </c>
      <c r="O49" s="65">
        <v>1248</v>
      </c>
      <c r="P49" s="65">
        <v>959</v>
      </c>
      <c r="Q49" s="218">
        <f t="shared" si="4"/>
        <v>0.7684294871794872</v>
      </c>
    </row>
    <row r="50" spans="1:17" s="29" customFormat="1" ht="18" customHeight="1">
      <c r="A50" s="93">
        <v>16</v>
      </c>
      <c r="B50" s="94" t="s">
        <v>181</v>
      </c>
      <c r="C50" s="65">
        <v>1367</v>
      </c>
      <c r="D50" s="65">
        <v>143264</v>
      </c>
      <c r="E50" s="65">
        <v>445</v>
      </c>
      <c r="F50" s="65">
        <v>8832</v>
      </c>
      <c r="G50" s="65">
        <v>405</v>
      </c>
      <c r="H50" s="65">
        <v>2772</v>
      </c>
      <c r="I50" s="148">
        <v>2497011</v>
      </c>
      <c r="J50" s="65">
        <f t="shared" si="3"/>
        <v>3581</v>
      </c>
      <c r="K50" s="65">
        <f>3001</f>
        <v>3001</v>
      </c>
      <c r="L50" s="65">
        <f>495+85</f>
        <v>580</v>
      </c>
      <c r="M50" s="65">
        <v>2456</v>
      </c>
      <c r="N50" s="65">
        <v>13777</v>
      </c>
      <c r="O50" s="65">
        <v>3016</v>
      </c>
      <c r="P50" s="65">
        <v>2473</v>
      </c>
      <c r="Q50" s="218">
        <f t="shared" si="4"/>
        <v>0.8199602122015915</v>
      </c>
    </row>
    <row r="51" spans="1:17" s="29" customFormat="1" ht="18" customHeight="1">
      <c r="A51" s="93">
        <v>17</v>
      </c>
      <c r="B51" s="94" t="s">
        <v>182</v>
      </c>
      <c r="C51" s="65">
        <v>762</v>
      </c>
      <c r="D51" s="65">
        <v>66460</v>
      </c>
      <c r="E51" s="65">
        <v>144</v>
      </c>
      <c r="F51" s="65">
        <v>4341</v>
      </c>
      <c r="G51" s="65">
        <v>141</v>
      </c>
      <c r="H51" s="65">
        <v>3727</v>
      </c>
      <c r="I51" s="65">
        <v>43207</v>
      </c>
      <c r="J51" s="65">
        <f t="shared" si="3"/>
        <v>429</v>
      </c>
      <c r="K51" s="65">
        <f>175</f>
        <v>175</v>
      </c>
      <c r="L51" s="65">
        <f>172+82</f>
        <v>254</v>
      </c>
      <c r="M51" s="65">
        <v>777</v>
      </c>
      <c r="N51" s="65">
        <v>3298</v>
      </c>
      <c r="O51" s="65">
        <v>746</v>
      </c>
      <c r="P51" s="65">
        <v>501</v>
      </c>
      <c r="Q51" s="218">
        <f t="shared" si="4"/>
        <v>0.6715817694369973</v>
      </c>
    </row>
    <row r="52" spans="1:17" s="29" customFormat="1" ht="18" customHeight="1">
      <c r="A52" s="93">
        <v>18</v>
      </c>
      <c r="B52" s="94" t="s">
        <v>183</v>
      </c>
      <c r="C52" s="65">
        <v>2424</v>
      </c>
      <c r="D52" s="65">
        <v>298050</v>
      </c>
      <c r="E52" s="65">
        <v>104</v>
      </c>
      <c r="F52" s="65">
        <v>10566</v>
      </c>
      <c r="G52" s="65">
        <v>28</v>
      </c>
      <c r="H52" s="65">
        <v>2573</v>
      </c>
      <c r="I52" s="65">
        <v>56122</v>
      </c>
      <c r="J52" s="65">
        <f t="shared" si="3"/>
        <v>2064</v>
      </c>
      <c r="K52" s="65">
        <v>1767</v>
      </c>
      <c r="L52" s="65">
        <f>216+81</f>
        <v>297</v>
      </c>
      <c r="M52" s="65">
        <v>1690</v>
      </c>
      <c r="N52" s="65">
        <v>8120</v>
      </c>
      <c r="O52" s="65">
        <v>759</v>
      </c>
      <c r="P52" s="65">
        <v>557</v>
      </c>
      <c r="Q52" s="218">
        <f t="shared" si="4"/>
        <v>0.7338603425559947</v>
      </c>
    </row>
    <row r="53" spans="1:17" s="29" customFormat="1" ht="18" customHeight="1">
      <c r="A53" s="93">
        <v>19</v>
      </c>
      <c r="B53" s="95" t="s">
        <v>201</v>
      </c>
      <c r="C53" s="65">
        <v>11203</v>
      </c>
      <c r="D53" s="148">
        <v>2339732</v>
      </c>
      <c r="E53" s="65">
        <v>459</v>
      </c>
      <c r="F53" s="65">
        <v>12882</v>
      </c>
      <c r="G53" s="65">
        <v>364</v>
      </c>
      <c r="H53" s="65">
        <v>20861</v>
      </c>
      <c r="I53" s="148">
        <v>3169980</v>
      </c>
      <c r="J53" s="65">
        <f t="shared" si="3"/>
        <v>1716</v>
      </c>
      <c r="K53" s="65">
        <v>1270</v>
      </c>
      <c r="L53" s="65">
        <f>354+92</f>
        <v>446</v>
      </c>
      <c r="M53" s="65">
        <v>976</v>
      </c>
      <c r="N53" s="65">
        <v>5173</v>
      </c>
      <c r="O53" s="65">
        <v>3828</v>
      </c>
      <c r="P53" s="65">
        <v>2988</v>
      </c>
      <c r="Q53" s="218">
        <f t="shared" si="4"/>
        <v>0.780564263322884</v>
      </c>
    </row>
    <row r="54" spans="1:17" s="29" customFormat="1" ht="18" customHeight="1">
      <c r="A54" s="93">
        <v>20</v>
      </c>
      <c r="B54" s="95" t="s">
        <v>202</v>
      </c>
      <c r="C54" s="148">
        <v>46694</v>
      </c>
      <c r="D54" s="148">
        <v>1712732</v>
      </c>
      <c r="E54" s="65">
        <v>301</v>
      </c>
      <c r="F54" s="65">
        <v>111340</v>
      </c>
      <c r="G54" s="65">
        <v>965</v>
      </c>
      <c r="H54" s="65">
        <v>174978</v>
      </c>
      <c r="I54" s="148">
        <v>718508</v>
      </c>
      <c r="J54" s="65">
        <f t="shared" si="3"/>
        <v>1486</v>
      </c>
      <c r="K54" s="65">
        <v>1118</v>
      </c>
      <c r="L54" s="65">
        <f>312+56</f>
        <v>368</v>
      </c>
      <c r="M54" s="65">
        <v>806</v>
      </c>
      <c r="N54" s="65">
        <v>4369</v>
      </c>
      <c r="O54" s="65">
        <v>5331</v>
      </c>
      <c r="P54" s="65">
        <v>3965</v>
      </c>
      <c r="Q54" s="218">
        <f t="shared" si="4"/>
        <v>0.7437628962671169</v>
      </c>
    </row>
    <row r="55" spans="1:17" s="29" customFormat="1" ht="18" customHeight="1">
      <c r="A55" s="93">
        <v>21</v>
      </c>
      <c r="B55" s="95" t="s">
        <v>203</v>
      </c>
      <c r="C55" s="65">
        <v>14943</v>
      </c>
      <c r="D55" s="148">
        <v>2464936</v>
      </c>
      <c r="E55" s="65">
        <v>187</v>
      </c>
      <c r="F55" s="65">
        <v>24595</v>
      </c>
      <c r="G55" s="65">
        <v>1030</v>
      </c>
      <c r="H55" s="65">
        <v>98852</v>
      </c>
      <c r="I55" s="65">
        <v>456421</v>
      </c>
      <c r="J55" s="65">
        <f t="shared" si="3"/>
        <v>2967</v>
      </c>
      <c r="K55" s="65">
        <v>2526</v>
      </c>
      <c r="L55" s="65">
        <f>381+60</f>
        <v>441</v>
      </c>
      <c r="M55" s="65">
        <v>2146</v>
      </c>
      <c r="N55" s="65">
        <v>11207</v>
      </c>
      <c r="O55" s="65">
        <v>1485</v>
      </c>
      <c r="P55" s="65">
        <v>1134</v>
      </c>
      <c r="Q55" s="218">
        <f t="shared" si="4"/>
        <v>0.7636363636363637</v>
      </c>
    </row>
    <row r="56" spans="1:17" s="29" customFormat="1" ht="18" customHeight="1">
      <c r="A56" s="93">
        <v>22</v>
      </c>
      <c r="B56" s="95" t="s">
        <v>204</v>
      </c>
      <c r="C56" s="65">
        <v>3749</v>
      </c>
      <c r="D56" s="148">
        <v>403059</v>
      </c>
      <c r="E56" s="65">
        <v>195</v>
      </c>
      <c r="F56" s="65">
        <v>1560</v>
      </c>
      <c r="G56" s="65">
        <v>321</v>
      </c>
      <c r="H56" s="65">
        <v>4900</v>
      </c>
      <c r="I56" s="65">
        <v>11900</v>
      </c>
      <c r="J56" s="148">
        <f t="shared" si="3"/>
        <v>5210</v>
      </c>
      <c r="K56" s="65">
        <v>4740</v>
      </c>
      <c r="L56" s="65">
        <f>392+78</f>
        <v>470</v>
      </c>
      <c r="M56" s="65">
        <v>2075</v>
      </c>
      <c r="N56" s="65">
        <v>10161</v>
      </c>
      <c r="O56" s="65">
        <v>1560</v>
      </c>
      <c r="P56" s="65">
        <v>1384</v>
      </c>
      <c r="Q56" s="218">
        <f t="shared" si="4"/>
        <v>0.8871794871794871</v>
      </c>
    </row>
    <row r="57" spans="1:17" s="29" customFormat="1" ht="18" customHeight="1">
      <c r="A57" s="93">
        <v>23</v>
      </c>
      <c r="B57" s="95" t="s">
        <v>205</v>
      </c>
      <c r="C57" s="65">
        <v>1553</v>
      </c>
      <c r="D57" s="65">
        <v>120356</v>
      </c>
      <c r="E57" s="65">
        <v>234</v>
      </c>
      <c r="F57" s="65">
        <v>1260</v>
      </c>
      <c r="G57" s="65">
        <v>41</v>
      </c>
      <c r="H57" s="65">
        <v>13256</v>
      </c>
      <c r="I57" s="65">
        <v>27185</v>
      </c>
      <c r="J57" s="65">
        <f t="shared" si="3"/>
        <v>540</v>
      </c>
      <c r="K57" s="65">
        <v>432</v>
      </c>
      <c r="L57" s="65">
        <f>51+57</f>
        <v>108</v>
      </c>
      <c r="M57" s="65">
        <v>1303</v>
      </c>
      <c r="N57" s="65">
        <v>1303</v>
      </c>
      <c r="O57" s="65">
        <v>2578</v>
      </c>
      <c r="P57" s="65">
        <v>2317</v>
      </c>
      <c r="Q57" s="218">
        <f t="shared" si="4"/>
        <v>0.8987587276958883</v>
      </c>
    </row>
    <row r="58" spans="1:17" s="29" customFormat="1" ht="18" customHeight="1">
      <c r="A58" s="93">
        <v>24</v>
      </c>
      <c r="B58" s="95" t="s">
        <v>206</v>
      </c>
      <c r="C58" s="65">
        <v>9169</v>
      </c>
      <c r="D58" s="65">
        <v>800091</v>
      </c>
      <c r="E58" s="148">
        <v>1010</v>
      </c>
      <c r="F58" s="65">
        <v>79856</v>
      </c>
      <c r="G58" s="65">
        <v>699</v>
      </c>
      <c r="H58" s="65">
        <v>22494</v>
      </c>
      <c r="I58" s="148">
        <v>1264991</v>
      </c>
      <c r="J58" s="65">
        <f t="shared" si="3"/>
        <v>3702</v>
      </c>
      <c r="K58" s="65">
        <v>3223</v>
      </c>
      <c r="L58" s="65">
        <v>479</v>
      </c>
      <c r="M58" s="65">
        <v>3048</v>
      </c>
      <c r="N58" s="65">
        <v>2052</v>
      </c>
      <c r="O58" s="65">
        <v>6248</v>
      </c>
      <c r="P58" s="65">
        <v>4314</v>
      </c>
      <c r="Q58" s="218">
        <f t="shared" si="4"/>
        <v>0.690460947503201</v>
      </c>
    </row>
    <row r="59" spans="1:17" s="29" customFormat="1" ht="18" customHeight="1">
      <c r="A59" s="93">
        <v>25</v>
      </c>
      <c r="B59" s="95" t="s">
        <v>207</v>
      </c>
      <c r="C59" s="65">
        <v>8338</v>
      </c>
      <c r="D59" s="148">
        <v>1144545</v>
      </c>
      <c r="E59" s="89">
        <v>1156</v>
      </c>
      <c r="F59" s="65">
        <v>38294</v>
      </c>
      <c r="G59" s="148">
        <v>1305</v>
      </c>
      <c r="H59" s="65">
        <v>95407</v>
      </c>
      <c r="I59" s="65">
        <v>262791</v>
      </c>
      <c r="J59" s="65">
        <f t="shared" si="3"/>
        <v>1621</v>
      </c>
      <c r="K59" s="65">
        <v>1407</v>
      </c>
      <c r="L59" s="65">
        <f>182+32</f>
        <v>214</v>
      </c>
      <c r="M59" s="65">
        <v>2753</v>
      </c>
      <c r="N59" s="65">
        <v>18071</v>
      </c>
      <c r="O59" s="65">
        <v>3593</v>
      </c>
      <c r="P59" s="65">
        <v>2828</v>
      </c>
      <c r="Q59" s="218">
        <f t="shared" si="4"/>
        <v>0.7870860005566379</v>
      </c>
    </row>
    <row r="60" spans="1:17" s="29" customFormat="1" ht="18" customHeight="1">
      <c r="A60" s="93">
        <v>26</v>
      </c>
      <c r="B60" s="95" t="s">
        <v>208</v>
      </c>
      <c r="C60" s="65">
        <v>4144</v>
      </c>
      <c r="D60" s="148">
        <v>82525</v>
      </c>
      <c r="E60" s="148">
        <v>2770</v>
      </c>
      <c r="F60" s="65">
        <v>13917</v>
      </c>
      <c r="G60" s="65">
        <v>181</v>
      </c>
      <c r="H60" s="148">
        <v>7280</v>
      </c>
      <c r="I60" s="65">
        <v>480212</v>
      </c>
      <c r="J60" s="65">
        <f t="shared" si="3"/>
        <v>2407</v>
      </c>
      <c r="K60" s="65">
        <v>1930</v>
      </c>
      <c r="L60" s="65">
        <f>432+45</f>
        <v>477</v>
      </c>
      <c r="M60" s="65">
        <v>1515</v>
      </c>
      <c r="N60" s="65">
        <v>10577</v>
      </c>
      <c r="O60" s="65">
        <v>2299</v>
      </c>
      <c r="P60" s="65">
        <v>1588</v>
      </c>
      <c r="Q60" s="218">
        <f t="shared" si="4"/>
        <v>0.6907351022183558</v>
      </c>
    </row>
    <row r="61" spans="1:17" s="29" customFormat="1" ht="18" customHeight="1">
      <c r="A61" s="93">
        <v>27</v>
      </c>
      <c r="B61" s="95" t="s">
        <v>209</v>
      </c>
      <c r="C61" s="65">
        <v>7032</v>
      </c>
      <c r="D61" s="65">
        <v>898413</v>
      </c>
      <c r="E61" s="65">
        <v>369</v>
      </c>
      <c r="F61" s="65">
        <v>25072</v>
      </c>
      <c r="G61" s="65">
        <v>198</v>
      </c>
      <c r="H61" s="65">
        <v>13383</v>
      </c>
      <c r="I61" s="65">
        <v>430488</v>
      </c>
      <c r="J61" s="65">
        <f t="shared" si="3"/>
        <v>2064</v>
      </c>
      <c r="K61" s="65">
        <f>1819</f>
        <v>1819</v>
      </c>
      <c r="L61" s="65">
        <f>185+60</f>
        <v>245</v>
      </c>
      <c r="M61" s="65">
        <v>2531</v>
      </c>
      <c r="N61" s="65">
        <v>13619</v>
      </c>
      <c r="O61" s="65">
        <v>3250</v>
      </c>
      <c r="P61" s="65">
        <v>2341</v>
      </c>
      <c r="Q61" s="218">
        <f t="shared" si="4"/>
        <v>0.7203076923076923</v>
      </c>
    </row>
    <row r="62" spans="1:17" s="29" customFormat="1" ht="18" customHeight="1">
      <c r="A62" s="93">
        <v>28</v>
      </c>
      <c r="B62" s="95" t="s">
        <v>210</v>
      </c>
      <c r="C62" s="65">
        <v>7955</v>
      </c>
      <c r="D62" s="65">
        <v>354158</v>
      </c>
      <c r="E62" s="65">
        <v>251</v>
      </c>
      <c r="F62" s="65">
        <v>38909</v>
      </c>
      <c r="G62" s="65">
        <v>424</v>
      </c>
      <c r="H62" s="65">
        <v>38960</v>
      </c>
      <c r="I62" s="65">
        <v>385993</v>
      </c>
      <c r="J62" s="65">
        <f t="shared" si="3"/>
        <v>1063</v>
      </c>
      <c r="K62" s="65">
        <v>662</v>
      </c>
      <c r="L62" s="65">
        <f>383+18</f>
        <v>401</v>
      </c>
      <c r="M62" s="65">
        <v>530</v>
      </c>
      <c r="N62" s="100">
        <v>3212</v>
      </c>
      <c r="O62" s="65">
        <v>3906</v>
      </c>
      <c r="P62" s="65">
        <v>3351</v>
      </c>
      <c r="Q62" s="218">
        <f t="shared" si="4"/>
        <v>0.857910906298003</v>
      </c>
    </row>
    <row r="63" spans="1:17" s="29" customFormat="1" ht="18" customHeight="1">
      <c r="A63" s="93">
        <v>29</v>
      </c>
      <c r="B63" s="95" t="s">
        <v>211</v>
      </c>
      <c r="C63" s="65">
        <v>2591</v>
      </c>
      <c r="D63" s="65">
        <v>183795</v>
      </c>
      <c r="E63" s="65">
        <v>324</v>
      </c>
      <c r="F63" s="65">
        <v>20056</v>
      </c>
      <c r="G63" s="65">
        <v>222</v>
      </c>
      <c r="H63" s="65">
        <v>10831</v>
      </c>
      <c r="I63" s="65">
        <v>48142</v>
      </c>
      <c r="J63" s="65">
        <f t="shared" si="3"/>
        <v>1596</v>
      </c>
      <c r="K63" s="65">
        <v>1394</v>
      </c>
      <c r="L63" s="65">
        <f>158+44</f>
        <v>202</v>
      </c>
      <c r="M63" s="65">
        <v>2048</v>
      </c>
      <c r="N63" s="65">
        <v>11624</v>
      </c>
      <c r="O63" s="65">
        <v>1282</v>
      </c>
      <c r="P63" s="65">
        <v>1022</v>
      </c>
      <c r="Q63" s="218">
        <f t="shared" si="4"/>
        <v>0.797191887675507</v>
      </c>
    </row>
    <row r="64" spans="1:17" s="29" customFormat="1" ht="18" customHeight="1">
      <c r="A64" s="93">
        <v>30</v>
      </c>
      <c r="B64" s="95" t="s">
        <v>212</v>
      </c>
      <c r="C64" s="65">
        <v>3045</v>
      </c>
      <c r="D64" s="65">
        <v>204660</v>
      </c>
      <c r="E64" s="65">
        <v>373</v>
      </c>
      <c r="F64" s="65">
        <v>16722</v>
      </c>
      <c r="G64" s="65">
        <v>2018</v>
      </c>
      <c r="H64" s="65">
        <v>42442</v>
      </c>
      <c r="I64" s="65">
        <v>396216</v>
      </c>
      <c r="J64" s="65">
        <f t="shared" si="3"/>
        <v>762</v>
      </c>
      <c r="K64" s="65">
        <v>572</v>
      </c>
      <c r="L64" s="65">
        <f>122+68</f>
        <v>190</v>
      </c>
      <c r="M64" s="65">
        <v>1062</v>
      </c>
      <c r="N64" s="65">
        <v>6889</v>
      </c>
      <c r="O64" s="65">
        <v>1553</v>
      </c>
      <c r="P64" s="65">
        <v>1136</v>
      </c>
      <c r="Q64" s="218">
        <f t="shared" si="4"/>
        <v>0.7314874436574372</v>
      </c>
    </row>
    <row r="65" spans="1:17" s="29" customFormat="1" ht="18" customHeight="1">
      <c r="A65" s="93">
        <v>31</v>
      </c>
      <c r="B65" s="95" t="s">
        <v>213</v>
      </c>
      <c r="C65" s="65">
        <v>5466</v>
      </c>
      <c r="D65" s="65">
        <v>975478</v>
      </c>
      <c r="E65" s="65">
        <v>642</v>
      </c>
      <c r="F65" s="65">
        <v>20639</v>
      </c>
      <c r="G65" s="65">
        <v>440</v>
      </c>
      <c r="H65" s="148">
        <v>3578936</v>
      </c>
      <c r="I65" s="65">
        <v>203177</v>
      </c>
      <c r="J65" s="65">
        <f t="shared" si="3"/>
        <v>994</v>
      </c>
      <c r="K65" s="65">
        <v>729</v>
      </c>
      <c r="L65" s="65">
        <f>225+40</f>
        <v>265</v>
      </c>
      <c r="M65" s="65">
        <v>1048</v>
      </c>
      <c r="N65" s="65">
        <v>5647</v>
      </c>
      <c r="O65" s="65">
        <v>867</v>
      </c>
      <c r="P65" s="65">
        <v>735</v>
      </c>
      <c r="Q65" s="218">
        <f t="shared" si="4"/>
        <v>0.8477508650519031</v>
      </c>
    </row>
    <row r="66" spans="1:17" s="181" customFormat="1" ht="18" customHeight="1">
      <c r="A66" s="93">
        <v>32</v>
      </c>
      <c r="B66" s="95" t="s">
        <v>214</v>
      </c>
      <c r="C66" s="65">
        <v>46220</v>
      </c>
      <c r="D66" s="148">
        <v>1263602</v>
      </c>
      <c r="E66" s="148">
        <v>1085</v>
      </c>
      <c r="F66" s="65">
        <v>17353</v>
      </c>
      <c r="G66" s="65">
        <v>256</v>
      </c>
      <c r="H66" s="65">
        <v>8075</v>
      </c>
      <c r="I66" s="65">
        <v>295674</v>
      </c>
      <c r="J66" s="65">
        <f t="shared" si="3"/>
        <v>1891</v>
      </c>
      <c r="K66" s="65">
        <v>1423</v>
      </c>
      <c r="L66" s="65">
        <f>398+70</f>
        <v>468</v>
      </c>
      <c r="M66" s="65">
        <v>933</v>
      </c>
      <c r="N66" s="65">
        <v>7804</v>
      </c>
      <c r="O66" s="65">
        <v>7286</v>
      </c>
      <c r="P66" s="65">
        <v>4991</v>
      </c>
      <c r="Q66" s="218">
        <f t="shared" si="4"/>
        <v>0.6850123524567664</v>
      </c>
    </row>
    <row r="67" spans="1:17" s="29" customFormat="1" ht="18" customHeight="1">
      <c r="A67" s="178">
        <v>33</v>
      </c>
      <c r="B67" s="179" t="s">
        <v>215</v>
      </c>
      <c r="C67" s="65">
        <v>5617</v>
      </c>
      <c r="D67" s="65">
        <v>367947</v>
      </c>
      <c r="E67" s="65">
        <v>203</v>
      </c>
      <c r="F67" s="65">
        <v>5982</v>
      </c>
      <c r="G67" s="65">
        <v>572</v>
      </c>
      <c r="H67" s="65">
        <v>60980</v>
      </c>
      <c r="I67" s="65">
        <v>249375</v>
      </c>
      <c r="J67" s="219">
        <f t="shared" si="3"/>
        <v>669</v>
      </c>
      <c r="K67" s="65">
        <v>411</v>
      </c>
      <c r="L67" s="65">
        <f>159+99</f>
        <v>258</v>
      </c>
      <c r="M67" s="65">
        <v>837</v>
      </c>
      <c r="N67" s="65">
        <v>4858</v>
      </c>
      <c r="O67" s="65">
        <v>601</v>
      </c>
      <c r="P67" s="65">
        <v>505</v>
      </c>
      <c r="Q67" s="220">
        <f t="shared" si="4"/>
        <v>0.8402662229617305</v>
      </c>
    </row>
    <row r="68" spans="1:17" s="29" customFormat="1" ht="18" customHeight="1">
      <c r="A68" s="93">
        <v>34</v>
      </c>
      <c r="B68" s="95" t="s">
        <v>216</v>
      </c>
      <c r="C68" s="65">
        <v>2377</v>
      </c>
      <c r="D68" s="65">
        <v>167208</v>
      </c>
      <c r="E68" s="148">
        <v>1220</v>
      </c>
      <c r="F68" s="65">
        <v>1215</v>
      </c>
      <c r="G68" s="65">
        <v>109</v>
      </c>
      <c r="H68" s="65">
        <v>6437</v>
      </c>
      <c r="I68" s="65">
        <v>23707</v>
      </c>
      <c r="J68" s="65">
        <f t="shared" si="3"/>
        <v>1010</v>
      </c>
      <c r="K68" s="65">
        <v>708</v>
      </c>
      <c r="L68" s="65">
        <f>260+42</f>
        <v>302</v>
      </c>
      <c r="M68" s="65">
        <v>1207</v>
      </c>
      <c r="N68" s="65">
        <v>5663</v>
      </c>
      <c r="O68" s="65">
        <v>433</v>
      </c>
      <c r="P68" s="65">
        <v>353</v>
      </c>
      <c r="Q68" s="218">
        <f t="shared" si="4"/>
        <v>0.815242494226328</v>
      </c>
    </row>
    <row r="69" spans="1:17" s="29" customFormat="1" ht="18" customHeight="1">
      <c r="A69" s="93">
        <v>35</v>
      </c>
      <c r="B69" s="95" t="s">
        <v>217</v>
      </c>
      <c r="C69" s="65">
        <v>4329</v>
      </c>
      <c r="D69" s="65">
        <v>335289</v>
      </c>
      <c r="E69" s="65">
        <v>178</v>
      </c>
      <c r="F69" s="65">
        <v>35482</v>
      </c>
      <c r="G69" s="65">
        <v>465</v>
      </c>
      <c r="H69" s="65">
        <v>56450</v>
      </c>
      <c r="I69" s="65">
        <v>518500</v>
      </c>
      <c r="J69" s="65">
        <f t="shared" si="3"/>
        <v>2238</v>
      </c>
      <c r="K69" s="65">
        <v>2001</v>
      </c>
      <c r="L69" s="65">
        <f>216+21</f>
        <v>237</v>
      </c>
      <c r="M69" s="65">
        <v>1588</v>
      </c>
      <c r="N69" s="65">
        <v>8228</v>
      </c>
      <c r="O69" s="65">
        <v>2963</v>
      </c>
      <c r="P69" s="65">
        <v>2069</v>
      </c>
      <c r="Q69" s="218">
        <f t="shared" si="4"/>
        <v>0.6982787715153561</v>
      </c>
    </row>
    <row r="70" spans="1:17" s="29" customFormat="1" ht="18" customHeight="1">
      <c r="A70" s="93">
        <v>36</v>
      </c>
      <c r="B70" s="107" t="s">
        <v>218</v>
      </c>
      <c r="C70" s="65">
        <v>10111</v>
      </c>
      <c r="D70" s="65">
        <v>728398</v>
      </c>
      <c r="E70" s="148">
        <v>226</v>
      </c>
      <c r="F70" s="65">
        <v>2519</v>
      </c>
      <c r="G70" s="65">
        <v>2019</v>
      </c>
      <c r="H70" s="65">
        <v>3059</v>
      </c>
      <c r="I70" s="65">
        <v>289408</v>
      </c>
      <c r="J70" s="65">
        <f t="shared" si="3"/>
        <v>2861</v>
      </c>
      <c r="K70" s="65">
        <v>2527</v>
      </c>
      <c r="L70" s="65">
        <f>246+88</f>
        <v>334</v>
      </c>
      <c r="M70" s="65">
        <v>2314</v>
      </c>
      <c r="N70" s="65">
        <v>12687</v>
      </c>
      <c r="O70" s="65">
        <v>1683</v>
      </c>
      <c r="P70" s="65">
        <v>1174</v>
      </c>
      <c r="Q70" s="218">
        <f t="shared" si="4"/>
        <v>0.6975638740344623</v>
      </c>
    </row>
    <row r="71" spans="1:17" s="29" customFormat="1" ht="18" customHeight="1">
      <c r="A71" s="93">
        <v>37</v>
      </c>
      <c r="B71" s="107" t="s">
        <v>219</v>
      </c>
      <c r="C71" s="65">
        <v>10256</v>
      </c>
      <c r="D71" s="65">
        <v>397822</v>
      </c>
      <c r="E71" s="65">
        <v>164</v>
      </c>
      <c r="F71" s="65">
        <v>2656</v>
      </c>
      <c r="G71" s="65">
        <v>500</v>
      </c>
      <c r="H71" s="65">
        <v>8306</v>
      </c>
      <c r="I71" s="65">
        <v>11868</v>
      </c>
      <c r="J71" s="65">
        <f t="shared" si="3"/>
        <v>2950</v>
      </c>
      <c r="K71" s="65">
        <v>2352</v>
      </c>
      <c r="L71" s="65">
        <f>396+202</f>
        <v>598</v>
      </c>
      <c r="M71" s="65">
        <v>2205</v>
      </c>
      <c r="N71" s="65">
        <v>10430</v>
      </c>
      <c r="O71" s="65">
        <v>1849</v>
      </c>
      <c r="P71" s="65">
        <v>1514</v>
      </c>
      <c r="Q71" s="218">
        <f t="shared" si="4"/>
        <v>0.8188209843158464</v>
      </c>
    </row>
    <row r="72" spans="1:17" s="29" customFormat="1" ht="18" customHeight="1">
      <c r="A72" s="93">
        <v>38</v>
      </c>
      <c r="B72" s="107" t="s">
        <v>220</v>
      </c>
      <c r="C72" s="65">
        <v>22447</v>
      </c>
      <c r="D72" s="65">
        <v>555820</v>
      </c>
      <c r="E72" s="148">
        <v>223</v>
      </c>
      <c r="F72" s="65">
        <v>5713</v>
      </c>
      <c r="G72" s="65">
        <v>419</v>
      </c>
      <c r="H72" s="65">
        <v>11977</v>
      </c>
      <c r="I72" s="65">
        <v>93182</v>
      </c>
      <c r="J72" s="65">
        <f t="shared" si="3"/>
        <v>2473</v>
      </c>
      <c r="K72" s="65">
        <v>2106</v>
      </c>
      <c r="L72" s="65">
        <f>295+72</f>
        <v>367</v>
      </c>
      <c r="M72" s="65">
        <v>1059</v>
      </c>
      <c r="N72" s="65">
        <v>7143</v>
      </c>
      <c r="O72" s="65">
        <v>3929</v>
      </c>
      <c r="P72" s="65">
        <v>3125</v>
      </c>
      <c r="Q72" s="218">
        <f t="shared" si="4"/>
        <v>0.7953677780605752</v>
      </c>
    </row>
    <row r="73" spans="1:17" s="29" customFormat="1" ht="18" customHeight="1">
      <c r="A73" s="93">
        <v>39</v>
      </c>
      <c r="B73" s="107" t="s">
        <v>221</v>
      </c>
      <c r="C73" s="65">
        <v>673</v>
      </c>
      <c r="D73" s="65">
        <v>46682</v>
      </c>
      <c r="E73" s="65">
        <v>229</v>
      </c>
      <c r="F73" s="65">
        <v>17743</v>
      </c>
      <c r="G73" s="65">
        <v>61</v>
      </c>
      <c r="H73" s="65">
        <v>6806</v>
      </c>
      <c r="I73" s="65">
        <v>111472</v>
      </c>
      <c r="J73" s="65">
        <f t="shared" si="3"/>
        <v>2087</v>
      </c>
      <c r="K73" s="65">
        <v>1714</v>
      </c>
      <c r="L73" s="65">
        <f>336+37</f>
        <v>373</v>
      </c>
      <c r="M73" s="65">
        <v>3689</v>
      </c>
      <c r="N73" s="65">
        <v>22074</v>
      </c>
      <c r="O73" s="65">
        <v>8219</v>
      </c>
      <c r="P73" s="65">
        <v>6591</v>
      </c>
      <c r="Q73" s="218">
        <f t="shared" si="4"/>
        <v>0.8019223749847914</v>
      </c>
    </row>
    <row r="74" spans="1:17" s="29" customFormat="1" ht="18" customHeight="1">
      <c r="A74" s="93">
        <v>40</v>
      </c>
      <c r="B74" s="107" t="s">
        <v>222</v>
      </c>
      <c r="C74" s="65">
        <v>6845</v>
      </c>
      <c r="D74" s="148">
        <v>1649795</v>
      </c>
      <c r="E74" s="148">
        <v>3656</v>
      </c>
      <c r="F74" s="65">
        <v>42436</v>
      </c>
      <c r="G74" s="65">
        <v>2236</v>
      </c>
      <c r="H74" s="65">
        <v>29983</v>
      </c>
      <c r="I74" s="65">
        <v>252243</v>
      </c>
      <c r="J74" s="65">
        <f t="shared" si="3"/>
        <v>8900</v>
      </c>
      <c r="K74" s="65">
        <v>7390</v>
      </c>
      <c r="L74" s="65">
        <f>1396+114</f>
        <v>1510</v>
      </c>
      <c r="M74" s="65">
        <v>5902</v>
      </c>
      <c r="N74" s="65">
        <v>36525</v>
      </c>
      <c r="O74" s="65">
        <v>7689</v>
      </c>
      <c r="P74" s="65">
        <v>5827</v>
      </c>
      <c r="Q74" s="218">
        <f t="shared" si="4"/>
        <v>0.7578358694238523</v>
      </c>
    </row>
    <row r="75" spans="1:17" s="29" customFormat="1" ht="18" customHeight="1">
      <c r="A75" s="93">
        <v>41</v>
      </c>
      <c r="B75" s="107" t="s">
        <v>223</v>
      </c>
      <c r="C75" s="65">
        <v>3404</v>
      </c>
      <c r="D75" s="65">
        <v>156367</v>
      </c>
      <c r="E75" s="65">
        <v>532</v>
      </c>
      <c r="F75" s="65">
        <v>17511</v>
      </c>
      <c r="G75" s="65">
        <v>153</v>
      </c>
      <c r="H75" s="65">
        <v>6212</v>
      </c>
      <c r="I75" s="65">
        <v>127720</v>
      </c>
      <c r="J75" s="65">
        <f t="shared" si="3"/>
        <v>1065</v>
      </c>
      <c r="K75" s="65">
        <v>714</v>
      </c>
      <c r="L75" s="65">
        <f>273+78</f>
        <v>351</v>
      </c>
      <c r="M75" s="65">
        <v>1678</v>
      </c>
      <c r="N75" s="65">
        <v>11019</v>
      </c>
      <c r="O75" s="65">
        <v>1340</v>
      </c>
      <c r="P75" s="65">
        <v>1022</v>
      </c>
      <c r="Q75" s="218">
        <f t="shared" si="4"/>
        <v>0.7626865671641792</v>
      </c>
    </row>
    <row r="76" spans="1:17" s="29" customFormat="1" ht="24" customHeight="1">
      <c r="A76" s="93">
        <v>42</v>
      </c>
      <c r="B76" s="107" t="s">
        <v>224</v>
      </c>
      <c r="C76" s="65">
        <v>1507</v>
      </c>
      <c r="D76" s="65">
        <v>33968</v>
      </c>
      <c r="E76" s="65">
        <v>141</v>
      </c>
      <c r="F76" s="65">
        <v>2161</v>
      </c>
      <c r="G76" s="65">
        <v>79</v>
      </c>
      <c r="H76" s="65">
        <v>637</v>
      </c>
      <c r="I76" s="65">
        <v>26851</v>
      </c>
      <c r="J76" s="65">
        <f t="shared" si="3"/>
        <v>770</v>
      </c>
      <c r="K76" s="65">
        <v>663</v>
      </c>
      <c r="L76" s="65">
        <f>66+41</f>
        <v>107</v>
      </c>
      <c r="M76" s="65">
        <v>340</v>
      </c>
      <c r="N76" s="65">
        <v>2137</v>
      </c>
      <c r="O76" s="65">
        <v>783</v>
      </c>
      <c r="P76" s="65">
        <v>492</v>
      </c>
      <c r="Q76" s="218">
        <f t="shared" si="4"/>
        <v>0.6283524904214559</v>
      </c>
    </row>
    <row r="77" spans="1:17" s="29" customFormat="1" ht="18" customHeight="1">
      <c r="A77" s="93">
        <v>43</v>
      </c>
      <c r="B77" s="107" t="s">
        <v>225</v>
      </c>
      <c r="C77" s="65">
        <v>9587</v>
      </c>
      <c r="D77" s="65">
        <v>701299</v>
      </c>
      <c r="E77" s="148">
        <v>2025</v>
      </c>
      <c r="F77" s="65">
        <v>24767</v>
      </c>
      <c r="G77" s="65">
        <v>1601</v>
      </c>
      <c r="H77" s="65">
        <v>20596</v>
      </c>
      <c r="I77" s="65">
        <v>850975</v>
      </c>
      <c r="J77" s="65">
        <f t="shared" si="3"/>
        <v>4243</v>
      </c>
      <c r="K77" s="65">
        <v>3876</v>
      </c>
      <c r="L77" s="65">
        <f>292+75</f>
        <v>367</v>
      </c>
      <c r="M77" s="65">
        <v>2895</v>
      </c>
      <c r="N77" s="65">
        <v>17186</v>
      </c>
      <c r="O77" s="65">
        <v>4182</v>
      </c>
      <c r="P77" s="65">
        <v>3182</v>
      </c>
      <c r="Q77" s="218">
        <f t="shared" si="4"/>
        <v>0.7608799617407939</v>
      </c>
    </row>
    <row r="78" spans="1:17" s="29" customFormat="1" ht="18" customHeight="1">
      <c r="A78" s="93">
        <v>44</v>
      </c>
      <c r="B78" s="107" t="s">
        <v>226</v>
      </c>
      <c r="C78" s="65">
        <v>936</v>
      </c>
      <c r="D78" s="65">
        <v>90081</v>
      </c>
      <c r="E78" s="65">
        <v>134</v>
      </c>
      <c r="F78" s="65">
        <v>2973</v>
      </c>
      <c r="G78" s="65">
        <v>39</v>
      </c>
      <c r="H78" s="65">
        <v>5045</v>
      </c>
      <c r="I78" s="65">
        <v>49217</v>
      </c>
      <c r="J78" s="65">
        <f t="shared" si="3"/>
        <v>760</v>
      </c>
      <c r="K78" s="65">
        <v>495</v>
      </c>
      <c r="L78" s="65">
        <f>162+103</f>
        <v>265</v>
      </c>
      <c r="M78" s="65">
        <v>569</v>
      </c>
      <c r="N78" s="65">
        <v>3112</v>
      </c>
      <c r="O78" s="65">
        <v>1809</v>
      </c>
      <c r="P78" s="65">
        <v>1280</v>
      </c>
      <c r="Q78" s="218">
        <f t="shared" si="4"/>
        <v>0.7075732448866777</v>
      </c>
    </row>
    <row r="79" spans="1:17" s="69" customFormat="1" ht="26.25">
      <c r="A79" s="93">
        <v>45</v>
      </c>
      <c r="B79" s="108" t="s">
        <v>231</v>
      </c>
      <c r="C79" s="65">
        <v>17902</v>
      </c>
      <c r="D79" s="148">
        <v>1223573</v>
      </c>
      <c r="E79" s="65">
        <v>323</v>
      </c>
      <c r="F79" s="65">
        <v>9334</v>
      </c>
      <c r="G79" s="65">
        <v>5262</v>
      </c>
      <c r="H79" s="65">
        <v>286910</v>
      </c>
      <c r="I79" s="65">
        <v>564213</v>
      </c>
      <c r="J79" s="65">
        <f t="shared" si="3"/>
        <v>1666</v>
      </c>
      <c r="K79" s="65">
        <v>1351</v>
      </c>
      <c r="L79" s="65">
        <f>157+158</f>
        <v>315</v>
      </c>
      <c r="M79" s="65">
        <v>1497</v>
      </c>
      <c r="N79" s="65">
        <v>9602</v>
      </c>
      <c r="O79" s="65">
        <v>2678</v>
      </c>
      <c r="P79" s="65">
        <v>2377</v>
      </c>
      <c r="Q79" s="218">
        <f t="shared" si="4"/>
        <v>0.8876026885735624</v>
      </c>
    </row>
    <row r="80" spans="1:17" s="29" customFormat="1" ht="26.25">
      <c r="A80" s="93">
        <v>46</v>
      </c>
      <c r="B80" s="108" t="s">
        <v>232</v>
      </c>
      <c r="C80" s="65">
        <v>4420</v>
      </c>
      <c r="D80" s="65">
        <v>319825</v>
      </c>
      <c r="E80" s="65">
        <v>926</v>
      </c>
      <c r="F80" s="65">
        <v>13297</v>
      </c>
      <c r="G80" s="65">
        <v>386</v>
      </c>
      <c r="H80" s="65">
        <v>14137</v>
      </c>
      <c r="I80" s="65">
        <v>114396</v>
      </c>
      <c r="J80" s="65">
        <f t="shared" si="3"/>
        <v>3035</v>
      </c>
      <c r="K80" s="65">
        <v>2710</v>
      </c>
      <c r="L80" s="65">
        <f>315+10</f>
        <v>325</v>
      </c>
      <c r="M80" s="65">
        <v>1687</v>
      </c>
      <c r="N80" s="65">
        <v>10144</v>
      </c>
      <c r="O80" s="65">
        <v>3994</v>
      </c>
      <c r="P80" s="65">
        <v>3274</v>
      </c>
      <c r="Q80" s="218">
        <f t="shared" si="4"/>
        <v>0.8197295943915874</v>
      </c>
    </row>
    <row r="81" spans="1:17" s="29" customFormat="1" ht="26.25">
      <c r="A81" s="93">
        <v>47</v>
      </c>
      <c r="B81" s="108" t="s">
        <v>233</v>
      </c>
      <c r="C81" s="65">
        <v>1424</v>
      </c>
      <c r="D81" s="65">
        <v>190579</v>
      </c>
      <c r="E81" s="148">
        <v>1151</v>
      </c>
      <c r="F81" s="65">
        <v>7755</v>
      </c>
      <c r="G81" s="65">
        <v>144</v>
      </c>
      <c r="H81" s="65">
        <v>3837</v>
      </c>
      <c r="I81" s="65">
        <v>144637</v>
      </c>
      <c r="J81" s="65">
        <f t="shared" si="3"/>
        <v>1127</v>
      </c>
      <c r="K81" s="65">
        <v>850</v>
      </c>
      <c r="L81" s="65">
        <f>140+137</f>
        <v>277</v>
      </c>
      <c r="M81" s="65">
        <v>1318</v>
      </c>
      <c r="N81" s="65">
        <v>7000</v>
      </c>
      <c r="O81" s="65">
        <v>2386</v>
      </c>
      <c r="P81" s="65">
        <v>1748</v>
      </c>
      <c r="Q81" s="218">
        <f t="shared" si="4"/>
        <v>0.732606873428332</v>
      </c>
    </row>
    <row r="82" spans="1:17" s="29" customFormat="1" ht="26.25">
      <c r="A82" s="93">
        <v>48</v>
      </c>
      <c r="B82" s="108" t="s">
        <v>234</v>
      </c>
      <c r="C82" s="65">
        <v>3806</v>
      </c>
      <c r="D82" s="65">
        <v>392105</v>
      </c>
      <c r="E82" s="65">
        <v>589</v>
      </c>
      <c r="F82" s="65">
        <v>34643</v>
      </c>
      <c r="G82" s="65">
        <v>265</v>
      </c>
      <c r="H82" s="65">
        <v>7983</v>
      </c>
      <c r="I82" s="65">
        <v>548571</v>
      </c>
      <c r="J82" s="65">
        <f t="shared" si="3"/>
        <v>1583</v>
      </c>
      <c r="K82" s="65">
        <v>1276</v>
      </c>
      <c r="L82" s="65">
        <f>231+76</f>
        <v>307</v>
      </c>
      <c r="M82" s="65">
        <v>1641</v>
      </c>
      <c r="N82" s="65">
        <v>9586</v>
      </c>
      <c r="O82" s="65">
        <v>2506</v>
      </c>
      <c r="P82" s="65">
        <v>1980</v>
      </c>
      <c r="Q82" s="218">
        <f t="shared" si="4"/>
        <v>0.7901037509976058</v>
      </c>
    </row>
    <row r="83" spans="1:17" s="29" customFormat="1" ht="18" customHeight="1">
      <c r="A83" s="93">
        <v>49</v>
      </c>
      <c r="B83" s="108" t="s">
        <v>235</v>
      </c>
      <c r="C83" s="65">
        <v>1897</v>
      </c>
      <c r="D83" s="148">
        <v>957759</v>
      </c>
      <c r="E83" s="65">
        <v>221</v>
      </c>
      <c r="F83" s="65">
        <v>10526</v>
      </c>
      <c r="G83" s="65">
        <v>103</v>
      </c>
      <c r="H83" s="65">
        <v>3540</v>
      </c>
      <c r="I83" s="65">
        <v>357322</v>
      </c>
      <c r="J83" s="65">
        <f t="shared" si="3"/>
        <v>1094</v>
      </c>
      <c r="K83" s="65">
        <v>840</v>
      </c>
      <c r="L83" s="65">
        <f>192+62</f>
        <v>254</v>
      </c>
      <c r="M83" s="65">
        <v>1218</v>
      </c>
      <c r="N83" s="65">
        <v>6366</v>
      </c>
      <c r="O83" s="65">
        <v>1110</v>
      </c>
      <c r="P83" s="65">
        <v>946</v>
      </c>
      <c r="Q83" s="218">
        <f t="shared" si="4"/>
        <v>0.8522522522522522</v>
      </c>
    </row>
    <row r="84" spans="1:17" s="69" customFormat="1" ht="18" customHeight="1">
      <c r="A84" s="93">
        <v>50</v>
      </c>
      <c r="B84" s="108" t="s">
        <v>236</v>
      </c>
      <c r="C84" s="65">
        <v>2303</v>
      </c>
      <c r="D84" s="65">
        <v>187313</v>
      </c>
      <c r="E84" s="65">
        <v>110</v>
      </c>
      <c r="F84" s="65">
        <v>1501</v>
      </c>
      <c r="G84" s="65">
        <v>134</v>
      </c>
      <c r="H84" s="65">
        <v>15742</v>
      </c>
      <c r="I84" s="65">
        <v>41871</v>
      </c>
      <c r="J84" s="65">
        <f t="shared" si="3"/>
        <v>2185</v>
      </c>
      <c r="K84" s="65">
        <v>2017</v>
      </c>
      <c r="L84" s="65">
        <v>168</v>
      </c>
      <c r="M84" s="65">
        <v>799</v>
      </c>
      <c r="N84" s="65">
        <v>3854</v>
      </c>
      <c r="O84" s="65">
        <v>4097</v>
      </c>
      <c r="P84" s="65">
        <v>3352</v>
      </c>
      <c r="Q84" s="218">
        <f t="shared" si="4"/>
        <v>0.8181596289968269</v>
      </c>
    </row>
    <row r="85" spans="1:17" s="69" customFormat="1" ht="18" customHeight="1">
      <c r="A85" s="93">
        <v>51</v>
      </c>
      <c r="B85" s="140" t="s">
        <v>237</v>
      </c>
      <c r="C85" s="65">
        <v>9607</v>
      </c>
      <c r="D85" s="65">
        <v>887017</v>
      </c>
      <c r="E85" s="65">
        <v>233</v>
      </c>
      <c r="F85" s="65">
        <v>33894</v>
      </c>
      <c r="G85" s="65">
        <v>299</v>
      </c>
      <c r="H85" s="65">
        <v>31821</v>
      </c>
      <c r="I85" s="65">
        <v>266911</v>
      </c>
      <c r="J85" s="65">
        <f t="shared" si="3"/>
        <v>3573</v>
      </c>
      <c r="K85" s="65">
        <v>3194</v>
      </c>
      <c r="L85" s="65">
        <f>298+81</f>
        <v>379</v>
      </c>
      <c r="M85" s="65">
        <v>3272</v>
      </c>
      <c r="N85" s="65">
        <v>17262</v>
      </c>
      <c r="O85" s="65">
        <v>1193</v>
      </c>
      <c r="P85" s="65">
        <v>1061</v>
      </c>
      <c r="Q85" s="218">
        <f t="shared" si="4"/>
        <v>0.8893545683151718</v>
      </c>
    </row>
    <row r="86" spans="1:17" s="69" customFormat="1" ht="18" customHeight="1">
      <c r="A86" s="93">
        <v>52</v>
      </c>
      <c r="B86" s="140" t="s">
        <v>238</v>
      </c>
      <c r="C86" s="65">
        <v>17909</v>
      </c>
      <c r="D86" s="65">
        <v>676607</v>
      </c>
      <c r="E86" s="65">
        <v>124</v>
      </c>
      <c r="F86" s="65">
        <v>2697</v>
      </c>
      <c r="G86" s="65">
        <v>115</v>
      </c>
      <c r="H86" s="65">
        <v>1945</v>
      </c>
      <c r="I86" s="65">
        <v>291358</v>
      </c>
      <c r="J86" s="65">
        <f t="shared" si="3"/>
        <v>1018</v>
      </c>
      <c r="K86" s="65">
        <v>835</v>
      </c>
      <c r="L86" s="65">
        <f>124+59</f>
        <v>183</v>
      </c>
      <c r="M86" s="65">
        <v>621</v>
      </c>
      <c r="N86" s="65">
        <v>4195</v>
      </c>
      <c r="O86" s="65">
        <v>2172</v>
      </c>
      <c r="P86" s="65">
        <v>1550</v>
      </c>
      <c r="Q86" s="218">
        <f t="shared" si="4"/>
        <v>0.7136279926335175</v>
      </c>
    </row>
    <row r="87" spans="1:17" s="29" customFormat="1" ht="18" customHeight="1">
      <c r="A87" s="93">
        <v>53</v>
      </c>
      <c r="B87" s="140" t="s">
        <v>239</v>
      </c>
      <c r="C87" s="65">
        <v>10597</v>
      </c>
      <c r="D87" s="148">
        <v>1799681</v>
      </c>
      <c r="E87" s="65">
        <v>419</v>
      </c>
      <c r="F87" s="65">
        <v>31506</v>
      </c>
      <c r="G87" s="65">
        <v>844</v>
      </c>
      <c r="H87" s="65">
        <v>36690</v>
      </c>
      <c r="I87" s="65">
        <v>509215</v>
      </c>
      <c r="J87" s="65">
        <f t="shared" si="3"/>
        <v>2386</v>
      </c>
      <c r="K87" s="65">
        <v>1050</v>
      </c>
      <c r="L87" s="65">
        <f>108+1228</f>
        <v>1336</v>
      </c>
      <c r="M87" s="65">
        <v>2058</v>
      </c>
      <c r="N87" s="65">
        <v>15213</v>
      </c>
      <c r="O87" s="65">
        <v>6080</v>
      </c>
      <c r="P87" s="65">
        <v>4935</v>
      </c>
      <c r="Q87" s="218">
        <f t="shared" si="4"/>
        <v>0.8116776315789473</v>
      </c>
    </row>
    <row r="88" spans="1:17" s="69" customFormat="1" ht="26.25">
      <c r="A88" s="93">
        <v>54</v>
      </c>
      <c r="B88" s="140" t="s">
        <v>240</v>
      </c>
      <c r="C88" s="65">
        <v>697</v>
      </c>
      <c r="D88" s="65">
        <v>30182</v>
      </c>
      <c r="E88" s="65">
        <v>181</v>
      </c>
      <c r="F88" s="65">
        <v>215000</v>
      </c>
      <c r="G88" s="65">
        <v>450</v>
      </c>
      <c r="H88" s="65">
        <v>190000</v>
      </c>
      <c r="I88" s="65">
        <v>95900</v>
      </c>
      <c r="J88" s="65">
        <f t="shared" si="3"/>
        <v>1347</v>
      </c>
      <c r="K88" s="65">
        <v>930</v>
      </c>
      <c r="L88" s="65">
        <f>351+66</f>
        <v>417</v>
      </c>
      <c r="M88" s="65">
        <v>2805</v>
      </c>
      <c r="N88" s="65">
        <v>17814</v>
      </c>
      <c r="O88" s="65">
        <v>2816</v>
      </c>
      <c r="P88" s="65">
        <v>2294</v>
      </c>
      <c r="Q88" s="218">
        <f t="shared" si="4"/>
        <v>0.8146306818181818</v>
      </c>
    </row>
    <row r="89" spans="1:17" s="69" customFormat="1" ht="18" customHeight="1">
      <c r="A89" s="93">
        <v>55</v>
      </c>
      <c r="B89" s="140" t="s">
        <v>241</v>
      </c>
      <c r="C89" s="65">
        <v>273</v>
      </c>
      <c r="D89" s="65">
        <v>35898</v>
      </c>
      <c r="E89" s="148">
        <v>1197</v>
      </c>
      <c r="F89" s="65">
        <v>51180</v>
      </c>
      <c r="G89" s="65">
        <v>396</v>
      </c>
      <c r="H89" s="65">
        <v>12632</v>
      </c>
      <c r="I89" s="65">
        <v>288139</v>
      </c>
      <c r="J89" s="65">
        <f t="shared" si="3"/>
        <v>5304</v>
      </c>
      <c r="K89" s="65">
        <v>4817</v>
      </c>
      <c r="L89" s="65">
        <f>431+56</f>
        <v>487</v>
      </c>
      <c r="M89" s="65">
        <v>5725</v>
      </c>
      <c r="N89" s="65">
        <v>31658</v>
      </c>
      <c r="O89" s="65">
        <v>6646</v>
      </c>
      <c r="P89" s="65">
        <v>5345</v>
      </c>
      <c r="Q89" s="218">
        <f t="shared" si="4"/>
        <v>0.8042431537767077</v>
      </c>
    </row>
    <row r="90" spans="1:17" s="69" customFormat="1" ht="26.25">
      <c r="A90" s="93">
        <v>56</v>
      </c>
      <c r="B90" s="140" t="s">
        <v>242</v>
      </c>
      <c r="C90" s="65">
        <v>6106</v>
      </c>
      <c r="D90" s="65">
        <v>454961</v>
      </c>
      <c r="E90" s="65">
        <v>150</v>
      </c>
      <c r="F90" s="65">
        <v>9362</v>
      </c>
      <c r="G90" s="65">
        <v>225</v>
      </c>
      <c r="H90" s="65">
        <v>7971</v>
      </c>
      <c r="I90" s="65">
        <v>259433</v>
      </c>
      <c r="J90" s="65">
        <f t="shared" si="3"/>
        <v>1769</v>
      </c>
      <c r="K90" s="65">
        <v>1502</v>
      </c>
      <c r="L90" s="65">
        <f>199+68</f>
        <v>267</v>
      </c>
      <c r="M90" s="65">
        <v>1508</v>
      </c>
      <c r="N90" s="65">
        <v>8704</v>
      </c>
      <c r="O90" s="65">
        <v>1448</v>
      </c>
      <c r="P90" s="65">
        <v>1117</v>
      </c>
      <c r="Q90" s="218">
        <f t="shared" si="4"/>
        <v>0.7714088397790055</v>
      </c>
    </row>
    <row r="91" spans="1:17" s="69" customFormat="1" ht="18" customHeight="1">
      <c r="A91" s="93">
        <v>57</v>
      </c>
      <c r="B91" s="140" t="s">
        <v>243</v>
      </c>
      <c r="C91" s="65">
        <v>54344</v>
      </c>
      <c r="D91" s="148">
        <v>2461358</v>
      </c>
      <c r="E91" s="65">
        <v>256</v>
      </c>
      <c r="F91" s="65">
        <v>2996</v>
      </c>
      <c r="G91" s="65">
        <v>571</v>
      </c>
      <c r="H91" s="65">
        <v>5219</v>
      </c>
      <c r="I91" s="65">
        <v>249810</v>
      </c>
      <c r="J91" s="65">
        <f t="shared" si="3"/>
        <v>2728</v>
      </c>
      <c r="K91" s="65">
        <v>2419</v>
      </c>
      <c r="L91" s="65">
        <f>235+74</f>
        <v>309</v>
      </c>
      <c r="M91" s="65">
        <v>1023</v>
      </c>
      <c r="N91" s="65">
        <v>6792</v>
      </c>
      <c r="O91" s="65">
        <v>4211</v>
      </c>
      <c r="P91" s="65">
        <v>3109</v>
      </c>
      <c r="Q91" s="218">
        <f t="shared" si="4"/>
        <v>0.7383044407504156</v>
      </c>
    </row>
    <row r="92" spans="1:17" s="69" customFormat="1" ht="26.25">
      <c r="A92" s="93">
        <v>58</v>
      </c>
      <c r="B92" s="140" t="s">
        <v>244</v>
      </c>
      <c r="C92" s="65">
        <v>24534</v>
      </c>
      <c r="D92" s="148">
        <v>2684200</v>
      </c>
      <c r="E92" s="148">
        <v>4230</v>
      </c>
      <c r="F92" s="65">
        <v>23278</v>
      </c>
      <c r="G92" s="65">
        <v>531</v>
      </c>
      <c r="H92" s="65">
        <v>33873</v>
      </c>
      <c r="I92" s="148">
        <v>6712480</v>
      </c>
      <c r="J92" s="65">
        <f t="shared" si="3"/>
        <v>3364</v>
      </c>
      <c r="K92" s="65">
        <v>2858</v>
      </c>
      <c r="L92" s="65">
        <f>398+108</f>
        <v>506</v>
      </c>
      <c r="M92" s="65">
        <v>17711</v>
      </c>
      <c r="N92" s="65">
        <v>50164</v>
      </c>
      <c r="O92" s="65">
        <v>4699</v>
      </c>
      <c r="P92" s="65">
        <v>2872</v>
      </c>
      <c r="Q92" s="218">
        <f t="shared" si="4"/>
        <v>0.6111938710363907</v>
      </c>
    </row>
    <row r="93" spans="1:17" s="69" customFormat="1" ht="18" customHeight="1">
      <c r="A93" s="93">
        <v>59</v>
      </c>
      <c r="B93" s="140" t="s">
        <v>245</v>
      </c>
      <c r="C93" s="65">
        <v>20831</v>
      </c>
      <c r="D93" s="65">
        <v>996493</v>
      </c>
      <c r="E93" s="65">
        <v>158</v>
      </c>
      <c r="F93" s="65">
        <v>30316</v>
      </c>
      <c r="G93" s="65">
        <v>582</v>
      </c>
      <c r="H93" s="65">
        <v>99621</v>
      </c>
      <c r="I93" s="65">
        <v>633469</v>
      </c>
      <c r="J93" s="65">
        <f t="shared" si="3"/>
        <v>851</v>
      </c>
      <c r="K93" s="65">
        <v>698</v>
      </c>
      <c r="L93" s="65">
        <f>116+37</f>
        <v>153</v>
      </c>
      <c r="M93" s="65">
        <v>912</v>
      </c>
      <c r="N93" s="65">
        <v>7204</v>
      </c>
      <c r="O93" s="65">
        <v>2878</v>
      </c>
      <c r="P93" s="65">
        <v>1667</v>
      </c>
      <c r="Q93" s="218">
        <f t="shared" si="4"/>
        <v>0.579221681723419</v>
      </c>
    </row>
    <row r="94" spans="1:17" s="69" customFormat="1" ht="26.25">
      <c r="A94" s="93">
        <v>60</v>
      </c>
      <c r="B94" s="140" t="s">
        <v>246</v>
      </c>
      <c r="C94" s="65">
        <v>9755</v>
      </c>
      <c r="D94" s="148">
        <v>9137633</v>
      </c>
      <c r="E94" s="65">
        <v>273</v>
      </c>
      <c r="F94" s="65">
        <v>20747</v>
      </c>
      <c r="G94" s="65">
        <v>1137</v>
      </c>
      <c r="H94" s="65">
        <v>185723</v>
      </c>
      <c r="I94" s="148">
        <v>1781722</v>
      </c>
      <c r="J94" s="65">
        <f t="shared" si="3"/>
        <v>3127</v>
      </c>
      <c r="K94" s="65">
        <v>2863</v>
      </c>
      <c r="L94" s="65">
        <f>198+66</f>
        <v>264</v>
      </c>
      <c r="M94" s="65">
        <v>2095</v>
      </c>
      <c r="N94" s="65">
        <v>12767</v>
      </c>
      <c r="O94" s="65">
        <v>3398</v>
      </c>
      <c r="P94" s="65">
        <v>2542</v>
      </c>
      <c r="Q94" s="218">
        <f t="shared" si="4"/>
        <v>0.7480871100647439</v>
      </c>
    </row>
    <row r="95" spans="1:17" s="69" customFormat="1" ht="18" customHeight="1">
      <c r="A95" s="93">
        <v>61</v>
      </c>
      <c r="B95" s="140" t="s">
        <v>247</v>
      </c>
      <c r="C95" s="65">
        <v>14831</v>
      </c>
      <c r="D95" s="65">
        <v>449501</v>
      </c>
      <c r="E95" s="148">
        <v>1305</v>
      </c>
      <c r="F95" s="65">
        <v>30703</v>
      </c>
      <c r="G95" s="65">
        <v>1063</v>
      </c>
      <c r="H95" s="65">
        <v>40239</v>
      </c>
      <c r="I95" s="65">
        <v>105274</v>
      </c>
      <c r="J95" s="65">
        <f t="shared" si="3"/>
        <v>1708</v>
      </c>
      <c r="K95" s="71">
        <v>1328</v>
      </c>
      <c r="L95" s="65">
        <v>380</v>
      </c>
      <c r="M95" s="65">
        <v>847</v>
      </c>
      <c r="N95" s="65">
        <v>6387</v>
      </c>
      <c r="O95" s="65">
        <v>2707</v>
      </c>
      <c r="P95" s="65">
        <v>2304</v>
      </c>
      <c r="Q95" s="218">
        <f t="shared" si="4"/>
        <v>0.8511267085334319</v>
      </c>
    </row>
    <row r="96" spans="1:17" s="69" customFormat="1" ht="20.25" customHeight="1">
      <c r="A96" s="93">
        <v>62</v>
      </c>
      <c r="B96" s="140" t="s">
        <v>248</v>
      </c>
      <c r="C96" s="65">
        <v>5959</v>
      </c>
      <c r="D96" s="65">
        <v>644640</v>
      </c>
      <c r="E96" s="65">
        <v>408</v>
      </c>
      <c r="F96" s="65">
        <v>9535</v>
      </c>
      <c r="G96" s="65">
        <v>39</v>
      </c>
      <c r="H96" s="65">
        <v>2130</v>
      </c>
      <c r="I96" s="65">
        <v>329009</v>
      </c>
      <c r="J96" s="65">
        <f t="shared" si="3"/>
        <v>3484</v>
      </c>
      <c r="K96" s="65">
        <v>3209</v>
      </c>
      <c r="L96" s="65">
        <f>173+102</f>
        <v>275</v>
      </c>
      <c r="M96" s="65">
        <v>1495</v>
      </c>
      <c r="N96" s="65">
        <v>8692</v>
      </c>
      <c r="O96" s="65">
        <v>2324</v>
      </c>
      <c r="P96" s="65">
        <v>1572</v>
      </c>
      <c r="Q96" s="218">
        <f t="shared" si="4"/>
        <v>0.6764199655765921</v>
      </c>
    </row>
    <row r="97" spans="1:17" s="29" customFormat="1" ht="18" customHeight="1">
      <c r="A97" s="93">
        <v>63</v>
      </c>
      <c r="B97" s="140" t="s">
        <v>249</v>
      </c>
      <c r="C97" s="65">
        <v>5146</v>
      </c>
      <c r="D97" s="65">
        <v>336929</v>
      </c>
      <c r="E97" s="65">
        <v>180</v>
      </c>
      <c r="F97" s="65">
        <v>6112</v>
      </c>
      <c r="G97" s="65">
        <v>70</v>
      </c>
      <c r="H97" s="65">
        <v>963</v>
      </c>
      <c r="I97" s="65">
        <v>63869</v>
      </c>
      <c r="J97" s="65">
        <f t="shared" si="3"/>
        <v>2002</v>
      </c>
      <c r="K97" s="65">
        <v>1625</v>
      </c>
      <c r="L97" s="65">
        <f>329+48</f>
        <v>377</v>
      </c>
      <c r="M97" s="65">
        <v>2241</v>
      </c>
      <c r="N97" s="65">
        <v>11917</v>
      </c>
      <c r="O97" s="65">
        <v>2359</v>
      </c>
      <c r="P97" s="65">
        <v>2017</v>
      </c>
      <c r="Q97" s="218">
        <f t="shared" si="4"/>
        <v>0.8550233149639678</v>
      </c>
    </row>
    <row r="98" spans="18:210" s="14" customFormat="1" ht="12.75">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row>
    <row r="99" spans="18:210" s="14" customFormat="1" ht="12.75">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row>
    <row r="100" spans="1:17" s="102" customFormat="1" ht="12.75">
      <c r="A100" s="32"/>
      <c r="B100" s="32" t="s">
        <v>252</v>
      </c>
      <c r="C100" s="32" t="s">
        <v>303</v>
      </c>
      <c r="D100" s="32"/>
      <c r="E100" s="32"/>
      <c r="F100" s="32"/>
      <c r="G100" s="32"/>
      <c r="H100" s="32"/>
      <c r="I100" s="32"/>
      <c r="J100" s="32"/>
      <c r="K100" s="100"/>
      <c r="L100" s="32"/>
      <c r="M100" s="32"/>
      <c r="N100" s="32"/>
      <c r="O100" s="32"/>
      <c r="P100" s="32"/>
      <c r="Q100" s="32"/>
    </row>
    <row r="101" spans="1:17" s="102" customFormat="1" ht="12.75">
      <c r="A101" s="32"/>
      <c r="B101" s="32" t="s">
        <v>304</v>
      </c>
      <c r="C101" s="32" t="s">
        <v>305</v>
      </c>
      <c r="D101" s="32"/>
      <c r="E101" s="32"/>
      <c r="F101" s="32"/>
      <c r="G101" s="32"/>
      <c r="H101" s="32"/>
      <c r="I101" s="32"/>
      <c r="J101" s="32"/>
      <c r="K101" s="100"/>
      <c r="L101" s="32"/>
      <c r="M101" s="32"/>
      <c r="N101" s="32"/>
      <c r="O101" s="32"/>
      <c r="P101" s="32"/>
      <c r="Q101" s="32"/>
    </row>
    <row r="102" spans="1:17" s="99" customFormat="1" ht="12.75">
      <c r="A102" s="32"/>
      <c r="B102" s="32" t="s">
        <v>278</v>
      </c>
      <c r="C102" s="32" t="s">
        <v>306</v>
      </c>
      <c r="E102" s="32"/>
      <c r="F102" s="32"/>
      <c r="G102" s="32"/>
      <c r="H102" s="32"/>
      <c r="I102" s="32"/>
      <c r="J102" s="32"/>
      <c r="K102" s="100"/>
      <c r="L102" s="32"/>
      <c r="M102" s="32"/>
      <c r="N102" s="32"/>
      <c r="O102" s="32"/>
      <c r="P102" s="32"/>
      <c r="Q102" s="32"/>
    </row>
    <row r="103" spans="1:17" s="102" customFormat="1" ht="12.75">
      <c r="A103" s="32"/>
      <c r="B103" s="32"/>
      <c r="C103" s="32"/>
      <c r="D103" s="32"/>
      <c r="E103" s="32"/>
      <c r="F103" s="32"/>
      <c r="G103" s="32"/>
      <c r="H103" s="32"/>
      <c r="I103" s="32"/>
      <c r="J103" s="32"/>
      <c r="K103" s="100"/>
      <c r="L103" s="32"/>
      <c r="M103" s="32"/>
      <c r="N103" s="32"/>
      <c r="O103" s="32"/>
      <c r="P103" s="32"/>
      <c r="Q103" s="32"/>
    </row>
  </sheetData>
  <sheetProtection/>
  <mergeCells count="29">
    <mergeCell ref="A13:B13"/>
    <mergeCell ref="A12:B12"/>
    <mergeCell ref="Q7:Q10"/>
    <mergeCell ref="G9:G10"/>
    <mergeCell ref="J9:J10"/>
    <mergeCell ref="E8:F8"/>
    <mergeCell ref="J7:L8"/>
    <mergeCell ref="K9:L9"/>
    <mergeCell ref="N7:N10"/>
    <mergeCell ref="C8:D8"/>
    <mergeCell ref="A2:P2"/>
    <mergeCell ref="A6:B10"/>
    <mergeCell ref="C6:L6"/>
    <mergeCell ref="M6:Q6"/>
    <mergeCell ref="O7:O10"/>
    <mergeCell ref="P7:P10"/>
    <mergeCell ref="M7:M10"/>
    <mergeCell ref="A3:Q3"/>
    <mergeCell ref="A4:Q4"/>
    <mergeCell ref="A34:B34"/>
    <mergeCell ref="G8:H8"/>
    <mergeCell ref="H9:H10"/>
    <mergeCell ref="I7:I10"/>
    <mergeCell ref="A11:B11"/>
    <mergeCell ref="E9:E10"/>
    <mergeCell ref="F9:F10"/>
    <mergeCell ref="C9:C10"/>
    <mergeCell ref="D9:D10"/>
    <mergeCell ref="C7:H7"/>
  </mergeCells>
  <printOptions/>
  <pageMargins left="0.35" right="0.15" top="1" bottom="0.5"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T84"/>
  <sheetViews>
    <sheetView view="pageBreakPreview" zoomScale="60" zoomScalePageLayoutView="80" workbookViewId="0" topLeftCell="A1">
      <selection activeCell="C90" sqref="C90"/>
    </sheetView>
  </sheetViews>
  <sheetFormatPr defaultColWidth="9.140625" defaultRowHeight="12.75"/>
  <cols>
    <col min="1" max="1" width="3.8515625" style="14" customWidth="1"/>
    <col min="2" max="2" width="11.7109375" style="14" customWidth="1"/>
    <col min="3" max="3" width="13.00390625" style="61" customWidth="1"/>
    <col min="4" max="4" width="11.7109375" style="14" customWidth="1"/>
    <col min="5" max="5" width="11.28125" style="223" customWidth="1"/>
    <col min="6" max="6" width="12.421875" style="14" customWidth="1"/>
    <col min="7" max="7" width="12.28125" style="14" customWidth="1"/>
    <col min="8" max="8" width="10.421875" style="14" customWidth="1"/>
    <col min="9" max="9" width="10.00390625" style="14" customWidth="1"/>
    <col min="10" max="10" width="9.28125" style="14" customWidth="1"/>
    <col min="11" max="11" width="8.28125" style="14" customWidth="1"/>
    <col min="12" max="12" width="8.8515625" style="14" customWidth="1"/>
    <col min="13" max="13" width="8.421875" style="14" customWidth="1"/>
    <col min="14" max="14" width="7.57421875" style="14" customWidth="1"/>
    <col min="15" max="15" width="5.8515625" style="14" customWidth="1"/>
    <col min="16" max="16" width="8.140625" style="14" customWidth="1"/>
    <col min="17" max="17" width="8.57421875" style="14" customWidth="1"/>
    <col min="18" max="18" width="5.57421875" style="14" customWidth="1"/>
    <col min="19" max="19" width="8.00390625" style="14" customWidth="1"/>
    <col min="20" max="20" width="6.8515625" style="14" customWidth="1"/>
    <col min="21" max="16384" width="9.140625" style="14" customWidth="1"/>
  </cols>
  <sheetData>
    <row r="1" spans="1:9" ht="18.75">
      <c r="A1" s="60" t="s">
        <v>7</v>
      </c>
      <c r="B1" s="60"/>
      <c r="C1" s="50"/>
      <c r="D1" s="30"/>
      <c r="E1" s="182"/>
      <c r="F1" s="27"/>
      <c r="G1" s="27"/>
      <c r="H1" s="27"/>
      <c r="I1" s="27"/>
    </row>
    <row r="2" spans="1:18" ht="18.75">
      <c r="A2" s="326" t="s">
        <v>70</v>
      </c>
      <c r="B2" s="326"/>
      <c r="C2" s="326"/>
      <c r="D2" s="326"/>
      <c r="E2" s="326"/>
      <c r="F2" s="326"/>
      <c r="G2" s="326"/>
      <c r="H2" s="326"/>
      <c r="I2" s="326"/>
      <c r="J2" s="326"/>
      <c r="K2" s="326"/>
      <c r="L2" s="326"/>
      <c r="M2" s="326"/>
      <c r="N2" s="326"/>
      <c r="O2" s="326"/>
      <c r="P2" s="326"/>
      <c r="Q2" s="326"/>
      <c r="R2" s="326"/>
    </row>
    <row r="3" spans="1:20" ht="20.25" customHeight="1">
      <c r="A3" s="347" t="s">
        <v>146</v>
      </c>
      <c r="B3" s="347"/>
      <c r="C3" s="347"/>
      <c r="D3" s="347"/>
      <c r="E3" s="347"/>
      <c r="F3" s="347"/>
      <c r="G3" s="347"/>
      <c r="H3" s="347"/>
      <c r="I3" s="347"/>
      <c r="J3" s="347"/>
      <c r="K3" s="347"/>
      <c r="L3" s="347"/>
      <c r="M3" s="347"/>
      <c r="N3" s="347"/>
      <c r="O3" s="347"/>
      <c r="P3" s="347"/>
      <c r="Q3" s="347"/>
      <c r="R3" s="347"/>
      <c r="S3" s="347"/>
      <c r="T3" s="347"/>
    </row>
    <row r="4" spans="1:20" ht="20.25" customHeight="1">
      <c r="A4" s="326" t="s">
        <v>283</v>
      </c>
      <c r="B4" s="326"/>
      <c r="C4" s="326"/>
      <c r="D4" s="326"/>
      <c r="E4" s="326"/>
      <c r="F4" s="326"/>
      <c r="G4" s="326"/>
      <c r="H4" s="326"/>
      <c r="I4" s="326"/>
      <c r="J4" s="326"/>
      <c r="K4" s="326"/>
      <c r="L4" s="326"/>
      <c r="M4" s="326"/>
      <c r="N4" s="326"/>
      <c r="O4" s="326"/>
      <c r="P4" s="326"/>
      <c r="Q4" s="326"/>
      <c r="R4" s="326"/>
      <c r="S4" s="326"/>
      <c r="T4" s="326"/>
    </row>
    <row r="5" spans="1:8" ht="20.25" customHeight="1">
      <c r="A5" s="31"/>
      <c r="B5" s="31"/>
      <c r="C5" s="51"/>
      <c r="D5" s="31"/>
      <c r="E5" s="183"/>
      <c r="F5" s="31"/>
      <c r="G5" s="31"/>
      <c r="H5" s="31"/>
    </row>
    <row r="6" spans="1:20" s="195" customFormat="1" ht="15.75" customHeight="1">
      <c r="A6" s="319"/>
      <c r="B6" s="319"/>
      <c r="C6" s="342" t="s">
        <v>5</v>
      </c>
      <c r="D6" s="343"/>
      <c r="E6" s="344"/>
      <c r="F6" s="346" t="s">
        <v>2</v>
      </c>
      <c r="G6" s="346"/>
      <c r="H6" s="346"/>
      <c r="I6" s="346"/>
      <c r="J6" s="346"/>
      <c r="K6" s="346"/>
      <c r="L6" s="346"/>
      <c r="M6" s="348" t="s">
        <v>67</v>
      </c>
      <c r="N6" s="348"/>
      <c r="O6" s="348"/>
      <c r="P6" s="348"/>
      <c r="Q6" s="348"/>
      <c r="R6" s="348"/>
      <c r="S6" s="319" t="s">
        <v>160</v>
      </c>
      <c r="T6" s="319"/>
    </row>
    <row r="7" spans="1:20" s="32" customFormat="1" ht="15.75" customHeight="1">
      <c r="A7" s="319"/>
      <c r="B7" s="319"/>
      <c r="C7" s="289" t="s">
        <v>102</v>
      </c>
      <c r="D7" s="298" t="s">
        <v>103</v>
      </c>
      <c r="E7" s="339" t="s">
        <v>60</v>
      </c>
      <c r="F7" s="298" t="s">
        <v>61</v>
      </c>
      <c r="G7" s="298" t="s">
        <v>62</v>
      </c>
      <c r="H7" s="345" t="s">
        <v>68</v>
      </c>
      <c r="I7" s="345"/>
      <c r="J7" s="345"/>
      <c r="K7" s="298" t="s">
        <v>63</v>
      </c>
      <c r="L7" s="298"/>
      <c r="M7" s="341" t="s">
        <v>9</v>
      </c>
      <c r="N7" s="298" t="s">
        <v>44</v>
      </c>
      <c r="O7" s="298"/>
      <c r="P7" s="298"/>
      <c r="Q7" s="298"/>
      <c r="R7" s="298"/>
      <c r="S7" s="319" t="s">
        <v>259</v>
      </c>
      <c r="T7" s="319" t="s">
        <v>260</v>
      </c>
    </row>
    <row r="8" spans="1:20" s="32" customFormat="1" ht="24.75" customHeight="1">
      <c r="A8" s="319"/>
      <c r="B8" s="319"/>
      <c r="C8" s="290"/>
      <c r="D8" s="298"/>
      <c r="E8" s="339"/>
      <c r="F8" s="298"/>
      <c r="G8" s="298"/>
      <c r="H8" s="298" t="s">
        <v>9</v>
      </c>
      <c r="I8" s="345" t="s">
        <v>44</v>
      </c>
      <c r="J8" s="345"/>
      <c r="K8" s="298"/>
      <c r="L8" s="298"/>
      <c r="M8" s="341"/>
      <c r="N8" s="298" t="s">
        <v>64</v>
      </c>
      <c r="O8" s="298" t="s">
        <v>65</v>
      </c>
      <c r="P8" s="298"/>
      <c r="Q8" s="298"/>
      <c r="R8" s="298"/>
      <c r="S8" s="319"/>
      <c r="T8" s="319"/>
    </row>
    <row r="9" spans="1:20" s="32" customFormat="1" ht="24.75" customHeight="1">
      <c r="A9" s="319"/>
      <c r="B9" s="319"/>
      <c r="C9" s="290"/>
      <c r="D9" s="298"/>
      <c r="E9" s="339"/>
      <c r="F9" s="298"/>
      <c r="G9" s="298"/>
      <c r="H9" s="298"/>
      <c r="I9" s="298" t="s">
        <v>3</v>
      </c>
      <c r="J9" s="298" t="s">
        <v>4</v>
      </c>
      <c r="K9" s="289" t="s">
        <v>9</v>
      </c>
      <c r="L9" s="298" t="s">
        <v>104</v>
      </c>
      <c r="M9" s="341"/>
      <c r="N9" s="298"/>
      <c r="O9" s="298" t="s">
        <v>9</v>
      </c>
      <c r="P9" s="298" t="s">
        <v>66</v>
      </c>
      <c r="Q9" s="298"/>
      <c r="R9" s="298"/>
      <c r="S9" s="319"/>
      <c r="T9" s="319"/>
    </row>
    <row r="10" spans="1:20" s="32" customFormat="1" ht="86.25" customHeight="1">
      <c r="A10" s="319"/>
      <c r="B10" s="319"/>
      <c r="C10" s="295"/>
      <c r="D10" s="298"/>
      <c r="E10" s="339"/>
      <c r="F10" s="298"/>
      <c r="G10" s="298"/>
      <c r="H10" s="298"/>
      <c r="I10" s="298"/>
      <c r="J10" s="298"/>
      <c r="K10" s="295"/>
      <c r="L10" s="298"/>
      <c r="M10" s="341"/>
      <c r="N10" s="298"/>
      <c r="O10" s="298"/>
      <c r="P10" s="37" t="s">
        <v>22</v>
      </c>
      <c r="Q10" s="37" t="s">
        <v>23</v>
      </c>
      <c r="R10" s="37" t="s">
        <v>24</v>
      </c>
      <c r="S10" s="319"/>
      <c r="T10" s="319"/>
    </row>
    <row r="11" spans="1:20" s="32" customFormat="1" ht="12.75">
      <c r="A11" s="310" t="s">
        <v>40</v>
      </c>
      <c r="B11" s="312"/>
      <c r="C11" s="43">
        <v>1</v>
      </c>
      <c r="D11" s="43">
        <v>2</v>
      </c>
      <c r="E11" s="43">
        <v>3</v>
      </c>
      <c r="F11" s="43">
        <v>4</v>
      </c>
      <c r="G11" s="43">
        <v>5</v>
      </c>
      <c r="H11" s="43">
        <v>6</v>
      </c>
      <c r="I11" s="43">
        <v>7</v>
      </c>
      <c r="J11" s="43">
        <v>8</v>
      </c>
      <c r="K11" s="43">
        <v>9</v>
      </c>
      <c r="L11" s="43">
        <v>10</v>
      </c>
      <c r="M11" s="43">
        <v>11</v>
      </c>
      <c r="N11" s="43">
        <v>12</v>
      </c>
      <c r="O11" s="43">
        <v>13</v>
      </c>
      <c r="P11" s="43">
        <v>14</v>
      </c>
      <c r="Q11" s="43">
        <v>15</v>
      </c>
      <c r="R11" s="43">
        <v>16</v>
      </c>
      <c r="S11" s="43">
        <v>17</v>
      </c>
      <c r="T11" s="43">
        <v>18</v>
      </c>
    </row>
    <row r="12" spans="1:20" s="221" customFormat="1" ht="24.75" customHeight="1">
      <c r="A12" s="340" t="s">
        <v>9</v>
      </c>
      <c r="B12" s="340"/>
      <c r="C12" s="152">
        <f>C13+C14</f>
        <v>67500784</v>
      </c>
      <c r="D12" s="152">
        <f aca="true" t="shared" si="0" ref="D12:T12">D13+D14</f>
        <v>3292814</v>
      </c>
      <c r="E12" s="152">
        <f t="shared" si="0"/>
        <v>277934.7001</v>
      </c>
      <c r="F12" s="152">
        <f t="shared" si="0"/>
        <v>1989226</v>
      </c>
      <c r="G12" s="152">
        <f t="shared" si="0"/>
        <v>433200</v>
      </c>
      <c r="H12" s="152">
        <f t="shared" si="0"/>
        <v>827640</v>
      </c>
      <c r="I12" s="152">
        <f t="shared" si="0"/>
        <v>814384</v>
      </c>
      <c r="J12" s="152">
        <f t="shared" si="0"/>
        <v>12577</v>
      </c>
      <c r="K12" s="152">
        <f t="shared" si="0"/>
        <v>6030</v>
      </c>
      <c r="L12" s="152">
        <f t="shared" si="0"/>
        <v>5859</v>
      </c>
      <c r="M12" s="152">
        <f t="shared" si="0"/>
        <v>3364</v>
      </c>
      <c r="N12" s="152">
        <f t="shared" si="0"/>
        <v>3014</v>
      </c>
      <c r="O12" s="152">
        <f t="shared" si="0"/>
        <v>350</v>
      </c>
      <c r="P12" s="152">
        <f t="shared" si="0"/>
        <v>214</v>
      </c>
      <c r="Q12" s="152">
        <f t="shared" si="0"/>
        <v>122</v>
      </c>
      <c r="R12" s="152">
        <f t="shared" si="0"/>
        <v>15</v>
      </c>
      <c r="S12" s="152">
        <f t="shared" si="0"/>
        <v>1157</v>
      </c>
      <c r="T12" s="152">
        <f t="shared" si="0"/>
        <v>219</v>
      </c>
    </row>
    <row r="13" spans="1:20" s="222" customFormat="1" ht="51.75" customHeight="1">
      <c r="A13" s="340" t="s">
        <v>288</v>
      </c>
      <c r="B13" s="340"/>
      <c r="C13" s="191">
        <v>2867</v>
      </c>
      <c r="D13" s="191">
        <v>6456</v>
      </c>
      <c r="E13" s="191"/>
      <c r="F13" s="191">
        <f>3+26+30+298+79+8+3+53+195+1+82+8+2+17+10+6+50+4+1+76+2+197+3+3+66+66+217+57+3+43+238+41+615+120+738+13+44+2+3+67+9+1+56+158+25+303+94+9+4+12+16</f>
        <v>4177</v>
      </c>
      <c r="G13" s="191">
        <v>218</v>
      </c>
      <c r="H13" s="191">
        <v>679</v>
      </c>
      <c r="I13" s="191"/>
      <c r="J13" s="191"/>
      <c r="K13" s="191"/>
      <c r="L13" s="191"/>
      <c r="M13" s="257">
        <v>0</v>
      </c>
      <c r="N13" s="191"/>
      <c r="O13" s="191"/>
      <c r="P13" s="191"/>
      <c r="Q13" s="191"/>
      <c r="R13" s="191"/>
      <c r="S13" s="191">
        <f>53+1+1+14+15+1+4+4+40+111+21+8+33+12+717+7+8+11+13+1+75+6+1</f>
        <v>1157</v>
      </c>
      <c r="T13" s="191">
        <f>5+29+9+102+11+12</f>
        <v>168</v>
      </c>
    </row>
    <row r="14" spans="1:20" ht="29.25" customHeight="1">
      <c r="A14" s="338" t="s">
        <v>95</v>
      </c>
      <c r="B14" s="338"/>
      <c r="C14" s="205">
        <f aca="true" t="shared" si="1" ref="C14:T14">SUM(C15:C77)</f>
        <v>67497917</v>
      </c>
      <c r="D14" s="205">
        <f t="shared" si="1"/>
        <v>3286358</v>
      </c>
      <c r="E14" s="205">
        <f t="shared" si="1"/>
        <v>277934.7001</v>
      </c>
      <c r="F14" s="205">
        <f t="shared" si="1"/>
        <v>1985049</v>
      </c>
      <c r="G14" s="205">
        <f t="shared" si="1"/>
        <v>432982</v>
      </c>
      <c r="H14" s="205">
        <f t="shared" si="1"/>
        <v>826961</v>
      </c>
      <c r="I14" s="205">
        <f t="shared" si="1"/>
        <v>814384</v>
      </c>
      <c r="J14" s="205">
        <f t="shared" si="1"/>
        <v>12577</v>
      </c>
      <c r="K14" s="205">
        <f t="shared" si="1"/>
        <v>6030</v>
      </c>
      <c r="L14" s="205">
        <f t="shared" si="1"/>
        <v>5859</v>
      </c>
      <c r="M14" s="205">
        <f t="shared" si="1"/>
        <v>3364</v>
      </c>
      <c r="N14" s="205">
        <f t="shared" si="1"/>
        <v>3014</v>
      </c>
      <c r="O14" s="205">
        <f t="shared" si="1"/>
        <v>350</v>
      </c>
      <c r="P14" s="205">
        <f t="shared" si="1"/>
        <v>214</v>
      </c>
      <c r="Q14" s="205">
        <f t="shared" si="1"/>
        <v>122</v>
      </c>
      <c r="R14" s="205">
        <f t="shared" si="1"/>
        <v>15</v>
      </c>
      <c r="S14" s="260">
        <f t="shared" si="1"/>
        <v>0</v>
      </c>
      <c r="T14" s="205">
        <f t="shared" si="1"/>
        <v>51</v>
      </c>
    </row>
    <row r="15" spans="1:20" ht="18" customHeight="1">
      <c r="A15" s="93">
        <v>1</v>
      </c>
      <c r="B15" s="94" t="s">
        <v>167</v>
      </c>
      <c r="C15" s="133">
        <v>597063</v>
      </c>
      <c r="D15" s="133">
        <v>17540</v>
      </c>
      <c r="E15" s="133">
        <v>2148</v>
      </c>
      <c r="F15" s="122">
        <v>48482</v>
      </c>
      <c r="G15" s="122">
        <v>16871</v>
      </c>
      <c r="H15" s="133">
        <f>I15+J15</f>
        <v>22752</v>
      </c>
      <c r="I15" s="133">
        <v>22629</v>
      </c>
      <c r="J15" s="133">
        <v>123</v>
      </c>
      <c r="K15" s="134">
        <v>165</v>
      </c>
      <c r="L15" s="133">
        <v>163</v>
      </c>
      <c r="M15" s="133">
        <f>N15+O15</f>
        <v>56</v>
      </c>
      <c r="N15" s="133">
        <v>54</v>
      </c>
      <c r="O15" s="133">
        <f>P15+Q15+R15</f>
        <v>2</v>
      </c>
      <c r="P15" s="133">
        <v>2</v>
      </c>
      <c r="Q15" s="257">
        <v>0</v>
      </c>
      <c r="R15" s="257">
        <v>0</v>
      </c>
      <c r="S15" s="257">
        <v>0</v>
      </c>
      <c r="T15" s="133">
        <v>13</v>
      </c>
    </row>
    <row r="16" spans="1:20" ht="26.25">
      <c r="A16" s="93">
        <v>2</v>
      </c>
      <c r="B16" s="94" t="s">
        <v>251</v>
      </c>
      <c r="C16" s="133">
        <v>738331</v>
      </c>
      <c r="D16" s="133">
        <v>47887</v>
      </c>
      <c r="E16" s="133">
        <v>2363</v>
      </c>
      <c r="F16" s="133">
        <v>19304</v>
      </c>
      <c r="G16" s="133">
        <v>3785</v>
      </c>
      <c r="H16" s="133">
        <f aca="true" t="shared" si="2" ref="H16:H77">I16+J16</f>
        <v>8751</v>
      </c>
      <c r="I16" s="133">
        <v>8425</v>
      </c>
      <c r="J16" s="133">
        <v>326</v>
      </c>
      <c r="K16" s="133">
        <v>99</v>
      </c>
      <c r="L16" s="133">
        <v>98</v>
      </c>
      <c r="M16" s="133">
        <f aca="true" t="shared" si="3" ref="M16:M77">N16+O16</f>
        <v>45</v>
      </c>
      <c r="N16" s="133">
        <v>21</v>
      </c>
      <c r="O16" s="133">
        <f aca="true" t="shared" si="4" ref="O16:O76">P16+Q16+R16</f>
        <v>24</v>
      </c>
      <c r="P16" s="133">
        <v>2</v>
      </c>
      <c r="Q16" s="133">
        <v>21</v>
      </c>
      <c r="R16" s="133">
        <v>1</v>
      </c>
      <c r="S16" s="257">
        <v>0</v>
      </c>
      <c r="T16" s="257">
        <v>0</v>
      </c>
    </row>
    <row r="17" spans="1:20" ht="18" customHeight="1">
      <c r="A17" s="93">
        <v>3</v>
      </c>
      <c r="B17" s="94" t="s">
        <v>168</v>
      </c>
      <c r="C17" s="133">
        <v>800000</v>
      </c>
      <c r="D17" s="133">
        <v>5898</v>
      </c>
      <c r="E17" s="133">
        <v>1668</v>
      </c>
      <c r="F17" s="122">
        <v>38005</v>
      </c>
      <c r="G17" s="122">
        <v>7027</v>
      </c>
      <c r="H17" s="133">
        <f t="shared" si="2"/>
        <v>15104</v>
      </c>
      <c r="I17" s="133">
        <v>15000</v>
      </c>
      <c r="J17" s="133">
        <v>104</v>
      </c>
      <c r="K17" s="133">
        <v>53</v>
      </c>
      <c r="L17" s="133">
        <v>46</v>
      </c>
      <c r="M17" s="133">
        <f t="shared" si="3"/>
        <v>60</v>
      </c>
      <c r="N17" s="133">
        <v>52</v>
      </c>
      <c r="O17" s="133">
        <f t="shared" si="4"/>
        <v>8</v>
      </c>
      <c r="P17" s="133">
        <v>7</v>
      </c>
      <c r="Q17" s="133">
        <v>1</v>
      </c>
      <c r="R17" s="257">
        <v>0</v>
      </c>
      <c r="S17" s="257">
        <v>0</v>
      </c>
      <c r="T17" s="257">
        <v>0</v>
      </c>
    </row>
    <row r="18" spans="1:20" ht="18" customHeight="1">
      <c r="A18" s="93">
        <v>4</v>
      </c>
      <c r="B18" s="94" t="s">
        <v>169</v>
      </c>
      <c r="C18" s="133">
        <v>193620</v>
      </c>
      <c r="D18" s="133">
        <v>336</v>
      </c>
      <c r="E18" s="133">
        <v>614.531</v>
      </c>
      <c r="F18" s="122">
        <v>6199</v>
      </c>
      <c r="G18" s="122">
        <v>1444</v>
      </c>
      <c r="H18" s="133">
        <f t="shared" si="2"/>
        <v>2629</v>
      </c>
      <c r="I18" s="133">
        <v>2623</v>
      </c>
      <c r="J18" s="133">
        <v>6</v>
      </c>
      <c r="K18" s="133">
        <v>4</v>
      </c>
      <c r="L18" s="133">
        <v>4</v>
      </c>
      <c r="M18" s="133">
        <f t="shared" si="3"/>
        <v>41</v>
      </c>
      <c r="N18" s="133">
        <v>19</v>
      </c>
      <c r="O18" s="133">
        <f t="shared" si="4"/>
        <v>22</v>
      </c>
      <c r="P18" s="133">
        <v>20</v>
      </c>
      <c r="Q18" s="133">
        <v>2</v>
      </c>
      <c r="R18" s="257">
        <v>0</v>
      </c>
      <c r="S18" s="257">
        <v>0</v>
      </c>
      <c r="T18" s="257">
        <v>0</v>
      </c>
    </row>
    <row r="19" spans="1:20" ht="18" customHeight="1">
      <c r="A19" s="93">
        <v>5</v>
      </c>
      <c r="B19" s="94" t="s">
        <v>170</v>
      </c>
      <c r="C19" s="133">
        <v>292943</v>
      </c>
      <c r="D19" s="133">
        <v>7841</v>
      </c>
      <c r="E19" s="133">
        <v>1390.546</v>
      </c>
      <c r="F19" s="133">
        <v>23594</v>
      </c>
      <c r="G19" s="133">
        <v>4431</v>
      </c>
      <c r="H19" s="133">
        <f t="shared" si="2"/>
        <v>8719</v>
      </c>
      <c r="I19" s="133">
        <v>8530</v>
      </c>
      <c r="J19" s="133">
        <v>189</v>
      </c>
      <c r="K19" s="133">
        <v>170</v>
      </c>
      <c r="L19" s="133">
        <v>167</v>
      </c>
      <c r="M19" s="133">
        <f t="shared" si="3"/>
        <v>10</v>
      </c>
      <c r="N19" s="133">
        <v>8</v>
      </c>
      <c r="O19" s="133">
        <f t="shared" si="4"/>
        <v>2</v>
      </c>
      <c r="P19" s="133">
        <v>2</v>
      </c>
      <c r="Q19" s="257">
        <v>0</v>
      </c>
      <c r="R19" s="257">
        <v>0</v>
      </c>
      <c r="S19" s="257">
        <v>0</v>
      </c>
      <c r="T19" s="257">
        <v>0</v>
      </c>
    </row>
    <row r="20" spans="1:20" ht="18" customHeight="1">
      <c r="A20" s="93">
        <v>6</v>
      </c>
      <c r="B20" s="94" t="s">
        <v>171</v>
      </c>
      <c r="C20" s="133">
        <v>689562</v>
      </c>
      <c r="D20" s="133">
        <v>23686</v>
      </c>
      <c r="E20" s="133">
        <v>2651.44</v>
      </c>
      <c r="F20" s="133">
        <v>33320</v>
      </c>
      <c r="G20" s="133">
        <v>4781</v>
      </c>
      <c r="H20" s="133">
        <f t="shared" si="2"/>
        <v>9843</v>
      </c>
      <c r="I20" s="133">
        <v>9786</v>
      </c>
      <c r="J20" s="133">
        <v>57</v>
      </c>
      <c r="K20" s="133">
        <v>36</v>
      </c>
      <c r="L20" s="133">
        <v>29</v>
      </c>
      <c r="M20" s="133">
        <f t="shared" si="3"/>
        <v>36</v>
      </c>
      <c r="N20" s="133">
        <v>36</v>
      </c>
      <c r="O20" s="257">
        <v>0</v>
      </c>
      <c r="P20" s="133"/>
      <c r="Q20" s="133"/>
      <c r="R20" s="133"/>
      <c r="S20" s="257">
        <v>0</v>
      </c>
      <c r="T20" s="133"/>
    </row>
    <row r="21" spans="1:20" ht="18" customHeight="1">
      <c r="A21" s="93">
        <v>7</v>
      </c>
      <c r="B21" s="94" t="s">
        <v>172</v>
      </c>
      <c r="C21" s="133">
        <v>672533</v>
      </c>
      <c r="D21" s="133">
        <v>32238</v>
      </c>
      <c r="E21" s="133">
        <v>2224.162</v>
      </c>
      <c r="F21" s="133">
        <v>22930</v>
      </c>
      <c r="G21" s="133">
        <v>7849</v>
      </c>
      <c r="H21" s="133">
        <f t="shared" si="2"/>
        <v>12146</v>
      </c>
      <c r="I21" s="133">
        <v>11900</v>
      </c>
      <c r="J21" s="133">
        <v>246</v>
      </c>
      <c r="K21" s="133">
        <v>27</v>
      </c>
      <c r="L21" s="133">
        <v>19</v>
      </c>
      <c r="M21" s="133">
        <f t="shared" si="3"/>
        <v>26</v>
      </c>
      <c r="N21" s="133">
        <v>26</v>
      </c>
      <c r="O21" s="257">
        <v>0</v>
      </c>
      <c r="P21" s="257">
        <v>0</v>
      </c>
      <c r="Q21" s="257">
        <v>0</v>
      </c>
      <c r="R21" s="257">
        <v>0</v>
      </c>
      <c r="S21" s="257">
        <v>0</v>
      </c>
      <c r="T21" s="133">
        <v>2</v>
      </c>
    </row>
    <row r="22" spans="1:20" ht="18" customHeight="1">
      <c r="A22" s="93">
        <v>8</v>
      </c>
      <c r="B22" s="94" t="s">
        <v>173</v>
      </c>
      <c r="C22" s="133">
        <v>1340316</v>
      </c>
      <c r="D22" s="133">
        <v>10422</v>
      </c>
      <c r="E22" s="133">
        <v>4736.64</v>
      </c>
      <c r="F22" s="122">
        <v>31567</v>
      </c>
      <c r="G22" s="122">
        <v>9123</v>
      </c>
      <c r="H22" s="133">
        <f t="shared" si="2"/>
        <v>14360</v>
      </c>
      <c r="I22" s="133">
        <v>14273</v>
      </c>
      <c r="J22" s="133">
        <v>87</v>
      </c>
      <c r="K22" s="133">
        <v>11</v>
      </c>
      <c r="L22" s="133">
        <v>10</v>
      </c>
      <c r="M22" s="133">
        <f t="shared" si="3"/>
        <v>22</v>
      </c>
      <c r="N22" s="133">
        <v>22</v>
      </c>
      <c r="O22" s="257">
        <v>0</v>
      </c>
      <c r="P22" s="257">
        <v>0</v>
      </c>
      <c r="Q22" s="257">
        <v>0</v>
      </c>
      <c r="R22" s="257">
        <v>0</v>
      </c>
      <c r="S22" s="257">
        <v>0</v>
      </c>
      <c r="T22" s="257">
        <v>0</v>
      </c>
    </row>
    <row r="23" spans="1:20" ht="15.75">
      <c r="A23" s="93">
        <v>9</v>
      </c>
      <c r="B23" s="94" t="s">
        <v>174</v>
      </c>
      <c r="C23" s="133">
        <v>1626804</v>
      </c>
      <c r="D23" s="133">
        <v>35405</v>
      </c>
      <c r="E23" s="133">
        <v>5847</v>
      </c>
      <c r="F23" s="122">
        <v>19814</v>
      </c>
      <c r="G23" s="122">
        <v>4422</v>
      </c>
      <c r="H23" s="133">
        <f t="shared" si="2"/>
        <v>9121</v>
      </c>
      <c r="I23" s="133">
        <v>8942</v>
      </c>
      <c r="J23" s="133">
        <v>179</v>
      </c>
      <c r="K23" s="133">
        <v>17</v>
      </c>
      <c r="L23" s="133">
        <v>16</v>
      </c>
      <c r="M23" s="133">
        <f t="shared" si="3"/>
        <v>26</v>
      </c>
      <c r="N23" s="133">
        <v>24</v>
      </c>
      <c r="O23" s="133">
        <f t="shared" si="4"/>
        <v>2</v>
      </c>
      <c r="P23" s="133">
        <v>2</v>
      </c>
      <c r="Q23" s="257">
        <v>0</v>
      </c>
      <c r="R23" s="257">
        <v>0</v>
      </c>
      <c r="S23" s="257">
        <v>0</v>
      </c>
      <c r="T23" s="257">
        <v>0</v>
      </c>
    </row>
    <row r="24" spans="1:20" ht="15.75">
      <c r="A24" s="93">
        <v>10</v>
      </c>
      <c r="B24" s="94" t="s">
        <v>175</v>
      </c>
      <c r="C24" s="133">
        <v>446948</v>
      </c>
      <c r="D24" s="133">
        <v>5698</v>
      </c>
      <c r="E24" s="133">
        <v>1674</v>
      </c>
      <c r="F24" s="133">
        <v>16579</v>
      </c>
      <c r="G24" s="133">
        <v>2760</v>
      </c>
      <c r="H24" s="133">
        <f t="shared" si="2"/>
        <v>7091</v>
      </c>
      <c r="I24" s="133">
        <v>7012</v>
      </c>
      <c r="J24" s="133">
        <v>79</v>
      </c>
      <c r="K24" s="133">
        <v>29</v>
      </c>
      <c r="L24" s="133">
        <v>28</v>
      </c>
      <c r="M24" s="133">
        <f t="shared" si="3"/>
        <v>11</v>
      </c>
      <c r="N24" s="133">
        <v>11</v>
      </c>
      <c r="O24" s="257">
        <v>0</v>
      </c>
      <c r="P24" s="257">
        <v>0</v>
      </c>
      <c r="Q24" s="257">
        <v>0</v>
      </c>
      <c r="R24" s="257">
        <v>0</v>
      </c>
      <c r="S24" s="257">
        <v>0</v>
      </c>
      <c r="T24" s="133">
        <v>11</v>
      </c>
    </row>
    <row r="25" spans="1:20" ht="15.75">
      <c r="A25" s="93">
        <v>11</v>
      </c>
      <c r="B25" s="94" t="s">
        <v>176</v>
      </c>
      <c r="C25" s="133">
        <v>453593</v>
      </c>
      <c r="D25" s="133">
        <v>16572</v>
      </c>
      <c r="E25" s="133">
        <v>1237.3</v>
      </c>
      <c r="F25" s="122">
        <v>19421</v>
      </c>
      <c r="G25" s="122">
        <v>4356</v>
      </c>
      <c r="H25" s="133">
        <f t="shared" si="2"/>
        <v>7093</v>
      </c>
      <c r="I25" s="133">
        <v>6837</v>
      </c>
      <c r="J25" s="133">
        <v>256</v>
      </c>
      <c r="K25" s="133">
        <v>107</v>
      </c>
      <c r="L25" s="133">
        <v>107</v>
      </c>
      <c r="M25" s="133">
        <f t="shared" si="3"/>
        <v>27</v>
      </c>
      <c r="N25" s="133">
        <v>21</v>
      </c>
      <c r="O25" s="133">
        <f t="shared" si="4"/>
        <v>6</v>
      </c>
      <c r="P25" s="133">
        <v>3</v>
      </c>
      <c r="Q25" s="133">
        <v>3</v>
      </c>
      <c r="R25" s="257">
        <v>0</v>
      </c>
      <c r="S25" s="257">
        <v>0</v>
      </c>
      <c r="T25" s="257">
        <v>0</v>
      </c>
    </row>
    <row r="26" spans="1:20" ht="18" customHeight="1">
      <c r="A26" s="93">
        <v>12</v>
      </c>
      <c r="B26" s="94" t="s">
        <v>177</v>
      </c>
      <c r="C26" s="133">
        <v>718145</v>
      </c>
      <c r="D26" s="133">
        <v>14002</v>
      </c>
      <c r="E26" s="133">
        <v>2336.752</v>
      </c>
      <c r="F26" s="122">
        <v>39455</v>
      </c>
      <c r="G26" s="122">
        <v>5324</v>
      </c>
      <c r="H26" s="133">
        <f t="shared" si="2"/>
        <v>11391</v>
      </c>
      <c r="I26" s="133">
        <v>11245</v>
      </c>
      <c r="J26" s="133">
        <v>146</v>
      </c>
      <c r="K26" s="133">
        <v>322</v>
      </c>
      <c r="L26" s="133">
        <v>320</v>
      </c>
      <c r="M26" s="133">
        <f t="shared" si="3"/>
        <v>23</v>
      </c>
      <c r="N26" s="133">
        <v>20</v>
      </c>
      <c r="O26" s="133">
        <f t="shared" si="4"/>
        <v>3</v>
      </c>
      <c r="P26" s="133">
        <v>2</v>
      </c>
      <c r="Q26" s="133">
        <v>1</v>
      </c>
      <c r="R26" s="133"/>
      <c r="S26" s="257">
        <v>0</v>
      </c>
      <c r="T26" s="257">
        <v>0</v>
      </c>
    </row>
    <row r="27" spans="1:20" ht="18" customHeight="1">
      <c r="A27" s="93">
        <v>13</v>
      </c>
      <c r="B27" s="94" t="s">
        <v>178</v>
      </c>
      <c r="C27" s="133">
        <v>771221</v>
      </c>
      <c r="D27" s="133">
        <v>16450</v>
      </c>
      <c r="E27" s="133">
        <v>3493.067</v>
      </c>
      <c r="F27" s="122">
        <v>24422</v>
      </c>
      <c r="G27" s="122">
        <v>5933</v>
      </c>
      <c r="H27" s="133">
        <f t="shared" si="2"/>
        <v>9161</v>
      </c>
      <c r="I27" s="133">
        <v>8713</v>
      </c>
      <c r="J27" s="133">
        <v>448</v>
      </c>
      <c r="K27" s="133">
        <v>943</v>
      </c>
      <c r="L27" s="133">
        <v>941</v>
      </c>
      <c r="M27" s="133">
        <f t="shared" si="3"/>
        <v>139</v>
      </c>
      <c r="N27" s="133">
        <v>131</v>
      </c>
      <c r="O27" s="133">
        <f t="shared" si="4"/>
        <v>8</v>
      </c>
      <c r="P27" s="133">
        <v>8</v>
      </c>
      <c r="Q27" s="257">
        <v>0</v>
      </c>
      <c r="R27" s="257">
        <v>0</v>
      </c>
      <c r="S27" s="257">
        <v>0</v>
      </c>
      <c r="T27" s="257">
        <v>0</v>
      </c>
    </row>
    <row r="28" spans="1:20" ht="18" customHeight="1">
      <c r="A28" s="93">
        <v>14</v>
      </c>
      <c r="B28" s="94" t="s">
        <v>179</v>
      </c>
      <c r="C28" s="133">
        <v>49302</v>
      </c>
      <c r="D28" s="133"/>
      <c r="E28" s="133">
        <v>167</v>
      </c>
      <c r="F28" s="133">
        <v>6164</v>
      </c>
      <c r="G28" s="122">
        <v>1018</v>
      </c>
      <c r="H28" s="133">
        <f t="shared" si="2"/>
        <v>2570</v>
      </c>
      <c r="I28" s="133">
        <v>2565</v>
      </c>
      <c r="J28" s="133">
        <v>5</v>
      </c>
      <c r="K28" s="133">
        <v>3</v>
      </c>
      <c r="L28" s="133">
        <v>3</v>
      </c>
      <c r="M28" s="133">
        <f t="shared" si="3"/>
        <v>4</v>
      </c>
      <c r="N28" s="133">
        <v>4</v>
      </c>
      <c r="O28" s="257">
        <v>0</v>
      </c>
      <c r="P28" s="257">
        <v>0</v>
      </c>
      <c r="Q28" s="257">
        <v>0</v>
      </c>
      <c r="R28" s="257">
        <v>0</v>
      </c>
      <c r="S28" s="257">
        <v>0</v>
      </c>
      <c r="T28" s="257">
        <v>0</v>
      </c>
    </row>
    <row r="29" spans="1:20" ht="18" customHeight="1">
      <c r="A29" s="93">
        <v>15</v>
      </c>
      <c r="B29" s="94" t="s">
        <v>180</v>
      </c>
      <c r="C29" s="133">
        <f>81221+25899+98720+79152+132963+256369+59961</f>
        <v>734285</v>
      </c>
      <c r="D29" s="133">
        <f>1290+2250+4998+3698+1591+3203+685</f>
        <v>17715</v>
      </c>
      <c r="E29" s="133">
        <f>(217826000+607122100+2977321000+823721000+468410000+1506156000+996554000)/1000000</f>
        <v>7597.1101</v>
      </c>
      <c r="F29" s="122">
        <v>19652</v>
      </c>
      <c r="G29" s="122">
        <v>3980</v>
      </c>
      <c r="H29" s="133">
        <f t="shared" si="2"/>
        <v>8456</v>
      </c>
      <c r="I29" s="133">
        <v>8268</v>
      </c>
      <c r="J29" s="133">
        <v>188</v>
      </c>
      <c r="K29" s="133">
        <v>7</v>
      </c>
      <c r="L29" s="133">
        <v>5</v>
      </c>
      <c r="M29" s="133">
        <f t="shared" si="3"/>
        <v>31</v>
      </c>
      <c r="N29" s="133">
        <v>27</v>
      </c>
      <c r="O29" s="133">
        <f t="shared" si="4"/>
        <v>4</v>
      </c>
      <c r="P29" s="133">
        <v>3</v>
      </c>
      <c r="Q29" s="133">
        <v>1</v>
      </c>
      <c r="R29" s="257">
        <v>0</v>
      </c>
      <c r="S29" s="257">
        <v>0</v>
      </c>
      <c r="T29" s="133">
        <v>1</v>
      </c>
    </row>
    <row r="30" spans="1:20" ht="18" customHeight="1">
      <c r="A30" s="93">
        <v>16</v>
      </c>
      <c r="B30" s="94" t="s">
        <v>181</v>
      </c>
      <c r="C30" s="133">
        <v>4481671</v>
      </c>
      <c r="D30" s="133">
        <v>43996</v>
      </c>
      <c r="E30" s="133">
        <v>1399.966</v>
      </c>
      <c r="F30" s="122">
        <v>44197</v>
      </c>
      <c r="G30" s="122">
        <v>7479</v>
      </c>
      <c r="H30" s="133">
        <f t="shared" si="2"/>
        <v>16390</v>
      </c>
      <c r="I30" s="133">
        <v>16305</v>
      </c>
      <c r="J30" s="133">
        <v>85</v>
      </c>
      <c r="K30" s="133">
        <v>7</v>
      </c>
      <c r="L30" s="133">
        <v>7</v>
      </c>
      <c r="M30" s="133">
        <f t="shared" si="3"/>
        <v>19</v>
      </c>
      <c r="N30" s="133">
        <v>18</v>
      </c>
      <c r="O30" s="133">
        <f t="shared" si="4"/>
        <v>1</v>
      </c>
      <c r="P30" s="133">
        <v>1</v>
      </c>
      <c r="Q30" s="257">
        <v>0</v>
      </c>
      <c r="R30" s="257">
        <v>0</v>
      </c>
      <c r="S30" s="257">
        <v>0</v>
      </c>
      <c r="T30" s="257">
        <v>0</v>
      </c>
    </row>
    <row r="31" spans="1:20" ht="15.75">
      <c r="A31" s="93">
        <v>17</v>
      </c>
      <c r="B31" s="94" t="s">
        <v>182</v>
      </c>
      <c r="C31" s="133">
        <v>483947</v>
      </c>
      <c r="D31" s="133">
        <v>1469</v>
      </c>
      <c r="E31" s="133">
        <v>1206</v>
      </c>
      <c r="F31" s="133">
        <v>10677</v>
      </c>
      <c r="G31" s="133">
        <v>1190</v>
      </c>
      <c r="H31" s="133">
        <f t="shared" si="2"/>
        <v>3663</v>
      </c>
      <c r="I31" s="133">
        <v>3642</v>
      </c>
      <c r="J31" s="133">
        <v>21</v>
      </c>
      <c r="K31" s="133">
        <v>2</v>
      </c>
      <c r="L31" s="133">
        <v>2</v>
      </c>
      <c r="M31" s="133">
        <f t="shared" si="3"/>
        <v>17</v>
      </c>
      <c r="N31" s="133">
        <v>17</v>
      </c>
      <c r="O31" s="257">
        <v>0</v>
      </c>
      <c r="P31" s="257">
        <v>0</v>
      </c>
      <c r="Q31" s="257">
        <v>0</v>
      </c>
      <c r="R31" s="257">
        <v>0</v>
      </c>
      <c r="S31" s="257">
        <v>0</v>
      </c>
      <c r="T31" s="257">
        <v>0</v>
      </c>
    </row>
    <row r="32" spans="1:20" ht="15.75">
      <c r="A32" s="93">
        <v>18</v>
      </c>
      <c r="B32" s="94" t="s">
        <v>183</v>
      </c>
      <c r="C32" s="133">
        <v>345917</v>
      </c>
      <c r="D32" s="133">
        <v>4004</v>
      </c>
      <c r="E32" s="133">
        <v>1938</v>
      </c>
      <c r="F32" s="133">
        <v>28741</v>
      </c>
      <c r="G32" s="133">
        <v>1926</v>
      </c>
      <c r="H32" s="133">
        <f t="shared" si="2"/>
        <v>5529</v>
      </c>
      <c r="I32" s="133">
        <v>5527</v>
      </c>
      <c r="J32" s="133">
        <v>2</v>
      </c>
      <c r="K32" s="133">
        <v>1</v>
      </c>
      <c r="L32" s="257">
        <v>0</v>
      </c>
      <c r="M32" s="133">
        <f t="shared" si="3"/>
        <v>63</v>
      </c>
      <c r="N32" s="133">
        <v>63</v>
      </c>
      <c r="O32" s="257">
        <v>0</v>
      </c>
      <c r="P32" s="257">
        <v>0</v>
      </c>
      <c r="Q32" s="257">
        <v>0</v>
      </c>
      <c r="R32" s="257">
        <v>0</v>
      </c>
      <c r="S32" s="257">
        <v>0</v>
      </c>
      <c r="T32" s="257">
        <v>0</v>
      </c>
    </row>
    <row r="33" spans="1:20" ht="18" customHeight="1">
      <c r="A33" s="93">
        <v>19</v>
      </c>
      <c r="B33" s="95" t="s">
        <v>201</v>
      </c>
      <c r="C33" s="122">
        <f>80146+1371242</f>
        <v>1451388</v>
      </c>
      <c r="D33" s="122">
        <f>7720+3687+40926</f>
        <v>52333</v>
      </c>
      <c r="E33" s="122">
        <f>464.026+544.998+19.86+3585.056+494.563</f>
        <v>5108.503000000001</v>
      </c>
      <c r="F33" s="122">
        <v>47810</v>
      </c>
      <c r="G33" s="122">
        <v>8418</v>
      </c>
      <c r="H33" s="133">
        <f t="shared" si="2"/>
        <v>18933</v>
      </c>
      <c r="I33" s="122">
        <v>18182</v>
      </c>
      <c r="J33" s="122">
        <v>751</v>
      </c>
      <c r="K33" s="122">
        <v>89</v>
      </c>
      <c r="L33" s="122">
        <v>88</v>
      </c>
      <c r="M33" s="133">
        <f t="shared" si="3"/>
        <v>70</v>
      </c>
      <c r="N33" s="133">
        <v>64</v>
      </c>
      <c r="O33" s="133">
        <f t="shared" si="4"/>
        <v>6</v>
      </c>
      <c r="P33" s="133">
        <v>3</v>
      </c>
      <c r="Q33" s="133">
        <v>3</v>
      </c>
      <c r="R33" s="257">
        <v>0</v>
      </c>
      <c r="S33" s="257">
        <v>0</v>
      </c>
      <c r="T33" s="257">
        <v>0</v>
      </c>
    </row>
    <row r="34" spans="1:20" ht="15.75">
      <c r="A34" s="93">
        <v>20</v>
      </c>
      <c r="B34" s="95" t="s">
        <v>202</v>
      </c>
      <c r="C34" s="122">
        <v>592421</v>
      </c>
      <c r="D34" s="122">
        <v>27886</v>
      </c>
      <c r="E34" s="122">
        <v>5564.925</v>
      </c>
      <c r="F34" s="122">
        <v>35712</v>
      </c>
      <c r="G34" s="122">
        <v>9858</v>
      </c>
      <c r="H34" s="133">
        <f t="shared" si="2"/>
        <v>15694</v>
      </c>
      <c r="I34" s="122">
        <v>15408</v>
      </c>
      <c r="J34" s="122">
        <v>286</v>
      </c>
      <c r="K34" s="122">
        <v>94</v>
      </c>
      <c r="L34" s="122">
        <v>92</v>
      </c>
      <c r="M34" s="133">
        <f t="shared" si="3"/>
        <v>53</v>
      </c>
      <c r="N34" s="133">
        <v>50</v>
      </c>
      <c r="O34" s="133">
        <f t="shared" si="4"/>
        <v>3</v>
      </c>
      <c r="P34" s="133">
        <v>3</v>
      </c>
      <c r="Q34" s="257">
        <v>0</v>
      </c>
      <c r="R34" s="257">
        <v>0</v>
      </c>
      <c r="S34" s="257">
        <v>0</v>
      </c>
      <c r="T34" s="257">
        <v>0</v>
      </c>
    </row>
    <row r="35" spans="1:20" ht="18" customHeight="1">
      <c r="A35" s="93">
        <v>21</v>
      </c>
      <c r="B35" s="95" t="s">
        <v>203</v>
      </c>
      <c r="C35" s="133">
        <f>228368+34987+23139+10930+50137+4668+23145+14951+24891+11381+29874</f>
        <v>456471</v>
      </c>
      <c r="D35" s="133">
        <f>268+257+38+3360+743+105+1606+160+1621+9+43</f>
        <v>8210</v>
      </c>
      <c r="E35" s="133">
        <f>(2079129+246138+129281+203126+234706+23452+379711+106712+399021+250031+179367)/1000</f>
        <v>4230.674</v>
      </c>
      <c r="F35" s="122">
        <v>33964</v>
      </c>
      <c r="G35" s="122">
        <v>3984</v>
      </c>
      <c r="H35" s="133">
        <f t="shared" si="2"/>
        <v>10888</v>
      </c>
      <c r="I35" s="122">
        <v>10850</v>
      </c>
      <c r="J35" s="122">
        <v>38</v>
      </c>
      <c r="K35" s="122">
        <v>3</v>
      </c>
      <c r="L35" s="122">
        <v>3</v>
      </c>
      <c r="M35" s="133">
        <f t="shared" si="3"/>
        <v>12</v>
      </c>
      <c r="N35" s="122">
        <v>12</v>
      </c>
      <c r="O35" s="257">
        <v>0</v>
      </c>
      <c r="P35" s="257">
        <v>0</v>
      </c>
      <c r="Q35" s="257">
        <v>0</v>
      </c>
      <c r="R35" s="257">
        <v>0</v>
      </c>
      <c r="S35" s="257">
        <v>0</v>
      </c>
      <c r="T35" s="257">
        <v>0</v>
      </c>
    </row>
    <row r="36" spans="1:20" ht="18" customHeight="1">
      <c r="A36" s="93">
        <v>22</v>
      </c>
      <c r="B36" s="95" t="s">
        <v>204</v>
      </c>
      <c r="C36" s="122">
        <v>213484</v>
      </c>
      <c r="D36" s="122"/>
      <c r="E36" s="122">
        <v>932</v>
      </c>
      <c r="F36" s="122">
        <v>23711</v>
      </c>
      <c r="G36" s="122">
        <v>2526</v>
      </c>
      <c r="H36" s="133">
        <f t="shared" si="2"/>
        <v>7651</v>
      </c>
      <c r="I36" s="122">
        <v>7646</v>
      </c>
      <c r="J36" s="122">
        <v>5</v>
      </c>
      <c r="K36" s="122">
        <v>29</v>
      </c>
      <c r="L36" s="122">
        <v>29</v>
      </c>
      <c r="M36" s="133">
        <f t="shared" si="3"/>
        <v>494</v>
      </c>
      <c r="N36" s="122">
        <v>494</v>
      </c>
      <c r="O36" s="257">
        <v>0</v>
      </c>
      <c r="P36" s="257">
        <v>0</v>
      </c>
      <c r="Q36" s="257">
        <v>0</v>
      </c>
      <c r="R36" s="257">
        <v>0</v>
      </c>
      <c r="S36" s="257">
        <v>0</v>
      </c>
      <c r="T36" s="257">
        <v>0</v>
      </c>
    </row>
    <row r="37" spans="1:20" ht="18" customHeight="1">
      <c r="A37" s="93">
        <v>23</v>
      </c>
      <c r="B37" s="95" t="s">
        <v>205</v>
      </c>
      <c r="C37" s="122">
        <f>139220+60090+37961+37997+33610+28069</f>
        <v>336947</v>
      </c>
      <c r="D37" s="122">
        <f>1141+2849+1624+176+597+1029</f>
        <v>7416</v>
      </c>
      <c r="E37" s="122">
        <v>1510.165</v>
      </c>
      <c r="F37" s="122">
        <v>18428</v>
      </c>
      <c r="G37" s="122">
        <v>4591</v>
      </c>
      <c r="H37" s="133">
        <f t="shared" si="2"/>
        <v>7629</v>
      </c>
      <c r="I37" s="122">
        <v>7597</v>
      </c>
      <c r="J37" s="122">
        <v>32</v>
      </c>
      <c r="K37" s="122">
        <v>12</v>
      </c>
      <c r="L37" s="122">
        <v>11</v>
      </c>
      <c r="M37" s="133">
        <f t="shared" si="3"/>
        <v>8</v>
      </c>
      <c r="N37" s="122">
        <v>8</v>
      </c>
      <c r="O37" s="257">
        <v>0</v>
      </c>
      <c r="P37" s="257">
        <v>0</v>
      </c>
      <c r="Q37" s="257">
        <v>0</v>
      </c>
      <c r="R37" s="257">
        <v>0</v>
      </c>
      <c r="S37" s="257">
        <v>0</v>
      </c>
      <c r="T37" s="257">
        <v>0</v>
      </c>
    </row>
    <row r="38" spans="1:20" ht="18" customHeight="1">
      <c r="A38" s="93">
        <v>24</v>
      </c>
      <c r="B38" s="95" t="s">
        <v>206</v>
      </c>
      <c r="C38" s="122">
        <v>5926397</v>
      </c>
      <c r="D38" s="122">
        <v>93631</v>
      </c>
      <c r="E38" s="122">
        <v>31930</v>
      </c>
      <c r="F38" s="122">
        <v>162905</v>
      </c>
      <c r="G38" s="122">
        <v>34045</v>
      </c>
      <c r="H38" s="133">
        <f t="shared" si="2"/>
        <v>61944</v>
      </c>
      <c r="I38" s="122">
        <v>61430</v>
      </c>
      <c r="J38" s="122">
        <v>514</v>
      </c>
      <c r="K38" s="122">
        <v>136</v>
      </c>
      <c r="L38" s="122">
        <v>113</v>
      </c>
      <c r="M38" s="133">
        <f t="shared" si="3"/>
        <v>110</v>
      </c>
      <c r="N38" s="122">
        <v>67</v>
      </c>
      <c r="O38" s="133">
        <f t="shared" si="4"/>
        <v>43</v>
      </c>
      <c r="P38" s="122">
        <v>15</v>
      </c>
      <c r="Q38" s="122">
        <v>28</v>
      </c>
      <c r="R38" s="257">
        <v>0</v>
      </c>
      <c r="S38" s="257">
        <v>0</v>
      </c>
      <c r="T38" s="133"/>
    </row>
    <row r="39" spans="1:20" ht="18" customHeight="1">
      <c r="A39" s="93">
        <v>25</v>
      </c>
      <c r="B39" s="95" t="s">
        <v>207</v>
      </c>
      <c r="C39" s="122">
        <v>947515</v>
      </c>
      <c r="D39" s="122">
        <v>26356</v>
      </c>
      <c r="E39" s="122">
        <v>2459.805</v>
      </c>
      <c r="F39" s="122">
        <v>37113</v>
      </c>
      <c r="G39" s="122">
        <v>10066</v>
      </c>
      <c r="H39" s="133">
        <f t="shared" si="2"/>
        <v>17339</v>
      </c>
      <c r="I39" s="122">
        <v>17287</v>
      </c>
      <c r="J39" s="122">
        <v>52</v>
      </c>
      <c r="K39" s="122">
        <v>11</v>
      </c>
      <c r="L39" s="122">
        <v>10</v>
      </c>
      <c r="M39" s="133">
        <f t="shared" si="3"/>
        <v>48</v>
      </c>
      <c r="N39" s="122">
        <v>47</v>
      </c>
      <c r="O39" s="133">
        <f t="shared" si="4"/>
        <v>1</v>
      </c>
      <c r="P39" s="122">
        <v>1</v>
      </c>
      <c r="Q39" s="257">
        <v>0</v>
      </c>
      <c r="R39" s="257">
        <v>0</v>
      </c>
      <c r="S39" s="257">
        <v>0</v>
      </c>
      <c r="T39" s="257">
        <v>0</v>
      </c>
    </row>
    <row r="40" spans="1:20" ht="15.75">
      <c r="A40" s="93">
        <v>26</v>
      </c>
      <c r="B40" s="95" t="s">
        <v>208</v>
      </c>
      <c r="C40" s="122">
        <v>824273</v>
      </c>
      <c r="D40" s="122">
        <v>18523</v>
      </c>
      <c r="E40" s="122">
        <v>2526.1</v>
      </c>
      <c r="F40" s="122">
        <v>48823</v>
      </c>
      <c r="G40" s="122">
        <v>8022</v>
      </c>
      <c r="H40" s="133">
        <f t="shared" si="2"/>
        <v>18021</v>
      </c>
      <c r="I40" s="122">
        <f>1509+1694+1686+1146+1337+1556+1536+1359+1422+1062+1855+1680</f>
        <v>17842</v>
      </c>
      <c r="J40" s="122">
        <v>179</v>
      </c>
      <c r="K40" s="122">
        <v>247</v>
      </c>
      <c r="L40" s="122">
        <v>233</v>
      </c>
      <c r="M40" s="133">
        <f t="shared" si="3"/>
        <v>55</v>
      </c>
      <c r="N40" s="122">
        <v>32</v>
      </c>
      <c r="O40" s="133">
        <f t="shared" si="4"/>
        <v>23</v>
      </c>
      <c r="P40" s="122">
        <v>16</v>
      </c>
      <c r="Q40" s="122">
        <v>7</v>
      </c>
      <c r="R40" s="257">
        <v>0</v>
      </c>
      <c r="S40" s="257">
        <v>0</v>
      </c>
      <c r="T40" s="257">
        <v>0</v>
      </c>
    </row>
    <row r="41" spans="1:20" ht="15.75">
      <c r="A41" s="93">
        <v>27</v>
      </c>
      <c r="B41" s="95" t="s">
        <v>209</v>
      </c>
      <c r="C41" s="122">
        <v>1614135</v>
      </c>
      <c r="D41" s="122">
        <v>23228</v>
      </c>
      <c r="E41" s="122">
        <v>6581.89</v>
      </c>
      <c r="F41" s="122">
        <v>40567</v>
      </c>
      <c r="G41" s="122">
        <v>10058</v>
      </c>
      <c r="H41" s="133">
        <f t="shared" si="2"/>
        <v>16915</v>
      </c>
      <c r="I41" s="122">
        <v>16401</v>
      </c>
      <c r="J41" s="122">
        <v>514</v>
      </c>
      <c r="K41" s="122">
        <v>602</v>
      </c>
      <c r="L41" s="122">
        <v>599</v>
      </c>
      <c r="M41" s="133">
        <f t="shared" si="3"/>
        <v>88</v>
      </c>
      <c r="N41" s="122">
        <v>78</v>
      </c>
      <c r="O41" s="133">
        <f t="shared" si="4"/>
        <v>10</v>
      </c>
      <c r="P41" s="133">
        <v>10</v>
      </c>
      <c r="Q41" s="257">
        <v>0</v>
      </c>
      <c r="R41" s="257">
        <v>0</v>
      </c>
      <c r="S41" s="257">
        <v>0</v>
      </c>
      <c r="T41" s="257">
        <v>0</v>
      </c>
    </row>
    <row r="42" spans="1:20" ht="15.75">
      <c r="A42" s="93">
        <v>28</v>
      </c>
      <c r="B42" s="95" t="s">
        <v>210</v>
      </c>
      <c r="C42" s="122">
        <v>439769</v>
      </c>
      <c r="D42" s="122">
        <v>10275</v>
      </c>
      <c r="E42" s="122">
        <v>1137.152</v>
      </c>
      <c r="F42" s="122">
        <v>20025</v>
      </c>
      <c r="G42" s="122">
        <v>4592</v>
      </c>
      <c r="H42" s="133">
        <f t="shared" si="2"/>
        <v>7300</v>
      </c>
      <c r="I42" s="122">
        <v>7030</v>
      </c>
      <c r="J42" s="122">
        <v>270</v>
      </c>
      <c r="K42" s="122">
        <v>591</v>
      </c>
      <c r="L42" s="122">
        <v>591</v>
      </c>
      <c r="M42" s="133">
        <f t="shared" si="3"/>
        <v>20</v>
      </c>
      <c r="N42" s="122">
        <v>20</v>
      </c>
      <c r="O42" s="133"/>
      <c r="P42" s="122">
        <v>1</v>
      </c>
      <c r="Q42" s="257">
        <v>0</v>
      </c>
      <c r="R42" s="257">
        <v>0</v>
      </c>
      <c r="S42" s="257">
        <v>0</v>
      </c>
      <c r="T42" s="257">
        <v>0</v>
      </c>
    </row>
    <row r="43" spans="1:20" ht="18" customHeight="1">
      <c r="A43" s="93">
        <v>29</v>
      </c>
      <c r="B43" s="95" t="s">
        <v>211</v>
      </c>
      <c r="C43" s="133">
        <v>395512</v>
      </c>
      <c r="D43" s="133">
        <v>11756</v>
      </c>
      <c r="E43" s="133">
        <v>1795.842</v>
      </c>
      <c r="F43" s="133">
        <v>18116</v>
      </c>
      <c r="G43" s="133">
        <v>4020</v>
      </c>
      <c r="H43" s="133">
        <f t="shared" si="2"/>
        <v>7490</v>
      </c>
      <c r="I43" s="122">
        <v>7482</v>
      </c>
      <c r="J43" s="122">
        <v>8</v>
      </c>
      <c r="K43" s="122">
        <v>12</v>
      </c>
      <c r="L43" s="122">
        <v>8</v>
      </c>
      <c r="M43" s="133">
        <f t="shared" si="3"/>
        <v>27</v>
      </c>
      <c r="N43" s="122">
        <v>24</v>
      </c>
      <c r="O43" s="133">
        <f t="shared" si="4"/>
        <v>3</v>
      </c>
      <c r="P43" s="133">
        <v>3</v>
      </c>
      <c r="Q43" s="257">
        <v>0</v>
      </c>
      <c r="R43" s="257">
        <v>0</v>
      </c>
      <c r="S43" s="257">
        <v>0</v>
      </c>
      <c r="T43" s="257">
        <v>0</v>
      </c>
    </row>
    <row r="44" spans="1:20" ht="27" customHeight="1">
      <c r="A44" s="93">
        <v>30</v>
      </c>
      <c r="B44" s="95" t="s">
        <v>212</v>
      </c>
      <c r="C44" s="122">
        <v>714588</v>
      </c>
      <c r="D44" s="122">
        <v>13069</v>
      </c>
      <c r="E44" s="122">
        <v>1815.133</v>
      </c>
      <c r="F44" s="122">
        <v>28187</v>
      </c>
      <c r="G44" s="122">
        <v>5998</v>
      </c>
      <c r="H44" s="133">
        <f t="shared" si="2"/>
        <v>12094</v>
      </c>
      <c r="I44" s="122">
        <v>12045</v>
      </c>
      <c r="J44" s="122">
        <v>49</v>
      </c>
      <c r="K44" s="122">
        <v>23</v>
      </c>
      <c r="L44" s="122">
        <v>17</v>
      </c>
      <c r="M44" s="133">
        <f t="shared" si="3"/>
        <v>27</v>
      </c>
      <c r="N44" s="122">
        <v>26</v>
      </c>
      <c r="O44" s="133">
        <f t="shared" si="4"/>
        <v>1</v>
      </c>
      <c r="P44" s="133">
        <v>1</v>
      </c>
      <c r="Q44" s="257">
        <v>0</v>
      </c>
      <c r="R44" s="257">
        <v>0</v>
      </c>
      <c r="S44" s="257">
        <v>0</v>
      </c>
      <c r="T44" s="257">
        <v>0</v>
      </c>
    </row>
    <row r="45" spans="1:20" ht="15.75">
      <c r="A45" s="93">
        <v>31</v>
      </c>
      <c r="B45" s="95" t="s">
        <v>213</v>
      </c>
      <c r="C45" s="122">
        <v>772973</v>
      </c>
      <c r="D45" s="122">
        <v>24596</v>
      </c>
      <c r="E45" s="122">
        <v>4717.7</v>
      </c>
      <c r="F45" s="122">
        <v>17519</v>
      </c>
      <c r="G45" s="122">
        <v>3535</v>
      </c>
      <c r="H45" s="133">
        <f t="shared" si="2"/>
        <v>11194</v>
      </c>
      <c r="I45" s="122">
        <v>10807</v>
      </c>
      <c r="J45" s="122">
        <v>387</v>
      </c>
      <c r="K45" s="122">
        <v>13</v>
      </c>
      <c r="L45" s="122">
        <v>13</v>
      </c>
      <c r="M45" s="133">
        <f t="shared" si="3"/>
        <v>34</v>
      </c>
      <c r="N45" s="122">
        <v>34</v>
      </c>
      <c r="O45" s="257">
        <v>0</v>
      </c>
      <c r="P45" s="257">
        <v>0</v>
      </c>
      <c r="Q45" s="257">
        <v>0</v>
      </c>
      <c r="R45" s="257">
        <v>0</v>
      </c>
      <c r="S45" s="257">
        <v>0</v>
      </c>
      <c r="T45" s="257">
        <v>0</v>
      </c>
    </row>
    <row r="46" spans="1:20" ht="15.75">
      <c r="A46" s="93">
        <v>32</v>
      </c>
      <c r="B46" s="95" t="s">
        <v>214</v>
      </c>
      <c r="C46" s="122">
        <v>627511</v>
      </c>
      <c r="D46" s="122">
        <v>62530</v>
      </c>
      <c r="E46" s="122">
        <v>2975.34</v>
      </c>
      <c r="F46" s="122">
        <v>34707</v>
      </c>
      <c r="G46" s="122">
        <v>7066</v>
      </c>
      <c r="H46" s="133">
        <f t="shared" si="2"/>
        <v>19618</v>
      </c>
      <c r="I46" s="122">
        <v>19311</v>
      </c>
      <c r="J46" s="122">
        <v>307</v>
      </c>
      <c r="K46" s="122">
        <v>430</v>
      </c>
      <c r="L46" s="122">
        <v>425</v>
      </c>
      <c r="M46" s="133">
        <f t="shared" si="3"/>
        <v>43</v>
      </c>
      <c r="N46" s="122">
        <v>43</v>
      </c>
      <c r="O46" s="257">
        <v>0</v>
      </c>
      <c r="P46" s="257">
        <v>0</v>
      </c>
      <c r="Q46" s="257">
        <v>0</v>
      </c>
      <c r="R46" s="257">
        <v>0</v>
      </c>
      <c r="S46" s="257">
        <v>0</v>
      </c>
      <c r="T46" s="257">
        <v>0</v>
      </c>
    </row>
    <row r="47" spans="1:20" ht="18" customHeight="1">
      <c r="A47" s="93">
        <v>33</v>
      </c>
      <c r="B47" s="95" t="s">
        <v>215</v>
      </c>
      <c r="C47" s="122">
        <v>243712</v>
      </c>
      <c r="D47" s="122">
        <v>9980</v>
      </c>
      <c r="E47" s="122">
        <v>1809</v>
      </c>
      <c r="F47" s="122">
        <v>15186</v>
      </c>
      <c r="G47" s="122">
        <v>2004</v>
      </c>
      <c r="H47" s="133">
        <f t="shared" si="2"/>
        <v>4382</v>
      </c>
      <c r="I47" s="122">
        <v>4369</v>
      </c>
      <c r="J47" s="122">
        <v>13</v>
      </c>
      <c r="K47" s="133">
        <v>1</v>
      </c>
      <c r="L47" s="133">
        <v>1</v>
      </c>
      <c r="M47" s="133">
        <f t="shared" si="3"/>
        <v>12</v>
      </c>
      <c r="N47" s="122">
        <v>12</v>
      </c>
      <c r="O47" s="257">
        <v>0</v>
      </c>
      <c r="P47" s="257">
        <v>0</v>
      </c>
      <c r="Q47" s="257">
        <v>0</v>
      </c>
      <c r="R47" s="257">
        <v>0</v>
      </c>
      <c r="S47" s="257">
        <v>0</v>
      </c>
      <c r="T47" s="257">
        <v>0</v>
      </c>
    </row>
    <row r="48" spans="1:20" ht="18" customHeight="1">
      <c r="A48" s="93">
        <v>34</v>
      </c>
      <c r="B48" s="95" t="s">
        <v>216</v>
      </c>
      <c r="C48" s="133">
        <v>336461</v>
      </c>
      <c r="D48" s="133">
        <v>2212</v>
      </c>
      <c r="E48" s="133">
        <v>490.589</v>
      </c>
      <c r="F48" s="122">
        <v>12454</v>
      </c>
      <c r="G48" s="122">
        <v>898</v>
      </c>
      <c r="H48" s="133">
        <f t="shared" si="2"/>
        <v>3210</v>
      </c>
      <c r="I48" s="122">
        <v>3207</v>
      </c>
      <c r="J48" s="122">
        <v>3</v>
      </c>
      <c r="K48" s="122">
        <v>24</v>
      </c>
      <c r="L48" s="122">
        <v>24</v>
      </c>
      <c r="M48" s="133">
        <f t="shared" si="3"/>
        <v>44</v>
      </c>
      <c r="N48" s="122">
        <v>44</v>
      </c>
      <c r="O48" s="257">
        <v>0</v>
      </c>
      <c r="P48" s="257">
        <v>0</v>
      </c>
      <c r="Q48" s="257">
        <v>0</v>
      </c>
      <c r="R48" s="257">
        <v>0</v>
      </c>
      <c r="S48" s="257">
        <v>0</v>
      </c>
      <c r="T48" s="257">
        <v>0</v>
      </c>
    </row>
    <row r="49" spans="1:20" ht="25.5" customHeight="1">
      <c r="A49" s="93">
        <v>35</v>
      </c>
      <c r="B49" s="95" t="s">
        <v>217</v>
      </c>
      <c r="C49" s="122">
        <v>686802</v>
      </c>
      <c r="D49" s="122">
        <v>18295</v>
      </c>
      <c r="E49" s="122">
        <v>5523</v>
      </c>
      <c r="F49" s="122">
        <v>30560</v>
      </c>
      <c r="G49" s="122">
        <v>5289</v>
      </c>
      <c r="H49" s="133">
        <f t="shared" si="2"/>
        <v>12362</v>
      </c>
      <c r="I49" s="122">
        <v>12203</v>
      </c>
      <c r="J49" s="122">
        <v>159</v>
      </c>
      <c r="K49" s="122">
        <v>15</v>
      </c>
      <c r="L49" s="122">
        <v>14</v>
      </c>
      <c r="M49" s="133">
        <f t="shared" si="3"/>
        <v>39</v>
      </c>
      <c r="N49" s="122">
        <v>37</v>
      </c>
      <c r="O49" s="133">
        <f t="shared" si="4"/>
        <v>2</v>
      </c>
      <c r="P49" s="133">
        <v>2</v>
      </c>
      <c r="Q49" s="257">
        <v>0</v>
      </c>
      <c r="R49" s="257">
        <v>0</v>
      </c>
      <c r="S49" s="257">
        <v>0</v>
      </c>
      <c r="T49" s="257">
        <v>0</v>
      </c>
    </row>
    <row r="50" spans="1:20" ht="18" customHeight="1">
      <c r="A50" s="93">
        <v>36</v>
      </c>
      <c r="B50" s="96" t="s">
        <v>218</v>
      </c>
      <c r="C50" s="133">
        <v>362302</v>
      </c>
      <c r="D50" s="133">
        <v>1080</v>
      </c>
      <c r="E50" s="133">
        <v>1415.7</v>
      </c>
      <c r="F50" s="122">
        <v>17404</v>
      </c>
      <c r="G50" s="122">
        <v>4719</v>
      </c>
      <c r="H50" s="133">
        <f t="shared" si="2"/>
        <v>7813</v>
      </c>
      <c r="I50" s="133">
        <v>7799</v>
      </c>
      <c r="J50" s="133">
        <v>14</v>
      </c>
      <c r="K50" s="133">
        <v>8</v>
      </c>
      <c r="L50" s="133">
        <v>5</v>
      </c>
      <c r="M50" s="133">
        <f t="shared" si="3"/>
        <v>46</v>
      </c>
      <c r="N50" s="133">
        <v>35</v>
      </c>
      <c r="O50" s="133">
        <f t="shared" si="4"/>
        <v>11</v>
      </c>
      <c r="P50" s="133">
        <v>11</v>
      </c>
      <c r="Q50" s="257">
        <v>0</v>
      </c>
      <c r="R50" s="257">
        <v>0</v>
      </c>
      <c r="S50" s="257">
        <v>0</v>
      </c>
      <c r="T50" s="257">
        <v>0</v>
      </c>
    </row>
    <row r="51" spans="1:20" ht="18" customHeight="1">
      <c r="A51" s="93">
        <v>37</v>
      </c>
      <c r="B51" s="96" t="s">
        <v>219</v>
      </c>
      <c r="C51" s="133">
        <v>334959</v>
      </c>
      <c r="D51" s="133">
        <v>4019</v>
      </c>
      <c r="E51" s="133">
        <v>1728</v>
      </c>
      <c r="F51" s="122">
        <v>16320</v>
      </c>
      <c r="G51" s="122">
        <v>1759</v>
      </c>
      <c r="H51" s="133">
        <f t="shared" si="2"/>
        <v>3910</v>
      </c>
      <c r="I51" s="133">
        <v>3899</v>
      </c>
      <c r="J51" s="133">
        <v>11</v>
      </c>
      <c r="K51" s="133">
        <v>4</v>
      </c>
      <c r="L51" s="133">
        <v>4</v>
      </c>
      <c r="M51" s="133">
        <f t="shared" si="3"/>
        <v>24</v>
      </c>
      <c r="N51" s="133">
        <v>24</v>
      </c>
      <c r="O51" s="257">
        <v>0</v>
      </c>
      <c r="P51" s="257">
        <v>0</v>
      </c>
      <c r="Q51" s="257">
        <v>0</v>
      </c>
      <c r="R51" s="257">
        <v>0</v>
      </c>
      <c r="S51" s="257">
        <v>0</v>
      </c>
      <c r="T51" s="257">
        <v>0</v>
      </c>
    </row>
    <row r="52" spans="1:20" ht="18" customHeight="1">
      <c r="A52" s="93">
        <v>38</v>
      </c>
      <c r="B52" s="96" t="s">
        <v>220</v>
      </c>
      <c r="C52" s="133">
        <v>1108743</v>
      </c>
      <c r="D52" s="133">
        <v>23922</v>
      </c>
      <c r="E52" s="133">
        <v>3845.623</v>
      </c>
      <c r="F52" s="122">
        <v>31270</v>
      </c>
      <c r="G52" s="122">
        <v>8483</v>
      </c>
      <c r="H52" s="133">
        <f t="shared" si="2"/>
        <v>18086</v>
      </c>
      <c r="I52" s="133">
        <v>17914</v>
      </c>
      <c r="J52" s="133">
        <v>172</v>
      </c>
      <c r="K52" s="133">
        <v>35</v>
      </c>
      <c r="L52" s="133">
        <v>33</v>
      </c>
      <c r="M52" s="133">
        <f t="shared" si="3"/>
        <v>36</v>
      </c>
      <c r="N52" s="133">
        <v>36</v>
      </c>
      <c r="O52" s="257">
        <v>0</v>
      </c>
      <c r="P52" s="257">
        <v>0</v>
      </c>
      <c r="Q52" s="257">
        <v>0</v>
      </c>
      <c r="R52" s="257">
        <v>0</v>
      </c>
      <c r="S52" s="257">
        <v>0</v>
      </c>
      <c r="T52" s="257">
        <v>0</v>
      </c>
    </row>
    <row r="53" spans="1:20" ht="18" customHeight="1">
      <c r="A53" s="93">
        <v>39</v>
      </c>
      <c r="B53" s="96" t="s">
        <v>221</v>
      </c>
      <c r="C53" s="133">
        <v>836304</v>
      </c>
      <c r="D53" s="133">
        <v>63969</v>
      </c>
      <c r="E53" s="133">
        <v>3533.772</v>
      </c>
      <c r="F53" s="133">
        <v>24794</v>
      </c>
      <c r="G53" s="133">
        <v>6420</v>
      </c>
      <c r="H53" s="133">
        <f t="shared" si="2"/>
        <v>19826</v>
      </c>
      <c r="I53" s="133">
        <v>19766</v>
      </c>
      <c r="J53" s="133">
        <v>60</v>
      </c>
      <c r="K53" s="133">
        <v>27</v>
      </c>
      <c r="L53" s="133">
        <v>21</v>
      </c>
      <c r="M53" s="133">
        <f t="shared" si="3"/>
        <v>33</v>
      </c>
      <c r="N53" s="133">
        <v>32</v>
      </c>
      <c r="O53" s="133">
        <f t="shared" si="4"/>
        <v>1</v>
      </c>
      <c r="P53" s="133">
        <v>1</v>
      </c>
      <c r="Q53" s="257">
        <v>0</v>
      </c>
      <c r="R53" s="257">
        <v>0</v>
      </c>
      <c r="S53" s="257">
        <v>0</v>
      </c>
      <c r="T53" s="257">
        <v>0</v>
      </c>
    </row>
    <row r="54" spans="1:20" ht="18" customHeight="1">
      <c r="A54" s="93">
        <v>40</v>
      </c>
      <c r="B54" s="96" t="s">
        <v>222</v>
      </c>
      <c r="C54" s="133">
        <v>2237098</v>
      </c>
      <c r="D54" s="133">
        <v>59396</v>
      </c>
      <c r="E54" s="133">
        <v>5159.805</v>
      </c>
      <c r="F54" s="133">
        <v>88659</v>
      </c>
      <c r="G54" s="133">
        <v>22678</v>
      </c>
      <c r="H54" s="133">
        <f t="shared" si="2"/>
        <v>38536</v>
      </c>
      <c r="I54" s="133">
        <v>38419</v>
      </c>
      <c r="J54" s="133">
        <v>117</v>
      </c>
      <c r="K54" s="133">
        <v>87</v>
      </c>
      <c r="L54" s="133">
        <v>80</v>
      </c>
      <c r="M54" s="133">
        <f t="shared" si="3"/>
        <v>134</v>
      </c>
      <c r="N54" s="133">
        <v>130</v>
      </c>
      <c r="O54" s="133">
        <f t="shared" si="4"/>
        <v>4</v>
      </c>
      <c r="P54" s="133">
        <v>4</v>
      </c>
      <c r="Q54" s="257">
        <v>0</v>
      </c>
      <c r="R54" s="257">
        <v>0</v>
      </c>
      <c r="S54" s="257">
        <v>0</v>
      </c>
      <c r="T54" s="133">
        <v>2</v>
      </c>
    </row>
    <row r="55" spans="1:20" ht="18" customHeight="1">
      <c r="A55" s="93">
        <v>41</v>
      </c>
      <c r="B55" s="96" t="s">
        <v>223</v>
      </c>
      <c r="C55" s="133">
        <v>478370</v>
      </c>
      <c r="D55" s="133">
        <v>12080</v>
      </c>
      <c r="E55" s="133">
        <v>1921</v>
      </c>
      <c r="F55" s="133">
        <v>22086</v>
      </c>
      <c r="G55" s="133">
        <v>5026</v>
      </c>
      <c r="H55" s="133">
        <f t="shared" si="2"/>
        <v>9726</v>
      </c>
      <c r="I55" s="133">
        <v>9691</v>
      </c>
      <c r="J55" s="133">
        <v>35</v>
      </c>
      <c r="K55" s="133">
        <v>18</v>
      </c>
      <c r="L55" s="133">
        <v>14</v>
      </c>
      <c r="M55" s="133">
        <f t="shared" si="3"/>
        <v>30</v>
      </c>
      <c r="N55" s="133">
        <v>30</v>
      </c>
      <c r="O55" s="257">
        <v>0</v>
      </c>
      <c r="P55" s="257">
        <v>0</v>
      </c>
      <c r="Q55" s="257">
        <v>0</v>
      </c>
      <c r="R55" s="257">
        <v>0</v>
      </c>
      <c r="S55" s="257">
        <v>0</v>
      </c>
      <c r="T55" s="257">
        <v>0</v>
      </c>
    </row>
    <row r="56" spans="1:20" ht="27.75" customHeight="1">
      <c r="A56" s="93">
        <v>42</v>
      </c>
      <c r="B56" s="107" t="s">
        <v>224</v>
      </c>
      <c r="C56" s="133">
        <v>274432</v>
      </c>
      <c r="D56" s="133">
        <v>3806</v>
      </c>
      <c r="E56" s="133">
        <v>1242.301</v>
      </c>
      <c r="F56" s="133">
        <v>14177</v>
      </c>
      <c r="G56" s="133">
        <v>3196</v>
      </c>
      <c r="H56" s="133">
        <f t="shared" si="2"/>
        <v>5657</v>
      </c>
      <c r="I56" s="133">
        <v>5588</v>
      </c>
      <c r="J56" s="133">
        <v>69</v>
      </c>
      <c r="K56" s="133">
        <v>4</v>
      </c>
      <c r="L56" s="133">
        <v>4</v>
      </c>
      <c r="M56" s="133">
        <f t="shared" si="3"/>
        <v>8</v>
      </c>
      <c r="N56" s="133">
        <v>8</v>
      </c>
      <c r="O56" s="257">
        <v>0</v>
      </c>
      <c r="P56" s="257">
        <v>0</v>
      </c>
      <c r="Q56" s="257">
        <v>0</v>
      </c>
      <c r="R56" s="257">
        <v>0</v>
      </c>
      <c r="S56" s="257">
        <v>0</v>
      </c>
      <c r="T56" s="257">
        <v>0</v>
      </c>
    </row>
    <row r="57" spans="1:20" ht="18" customHeight="1">
      <c r="A57" s="93">
        <v>43</v>
      </c>
      <c r="B57" s="96" t="s">
        <v>225</v>
      </c>
      <c r="C57" s="133">
        <v>375465</v>
      </c>
      <c r="D57" s="133">
        <v>35222</v>
      </c>
      <c r="E57" s="133">
        <v>3411.136</v>
      </c>
      <c r="F57" s="133">
        <v>31410</v>
      </c>
      <c r="G57" s="133">
        <v>6765</v>
      </c>
      <c r="H57" s="133">
        <f t="shared" si="2"/>
        <v>14249</v>
      </c>
      <c r="I57" s="133">
        <v>14168</v>
      </c>
      <c r="J57" s="133">
        <v>81</v>
      </c>
      <c r="K57" s="133">
        <v>23</v>
      </c>
      <c r="L57" s="133">
        <v>18</v>
      </c>
      <c r="M57" s="133">
        <f t="shared" si="3"/>
        <v>35</v>
      </c>
      <c r="N57" s="133">
        <v>35</v>
      </c>
      <c r="O57" s="257">
        <v>0</v>
      </c>
      <c r="P57" s="257">
        <v>0</v>
      </c>
      <c r="Q57" s="257">
        <v>0</v>
      </c>
      <c r="R57" s="257">
        <v>0</v>
      </c>
      <c r="S57" s="257">
        <v>0</v>
      </c>
      <c r="T57" s="257">
        <v>0</v>
      </c>
    </row>
    <row r="58" spans="1:20" ht="18" customHeight="1">
      <c r="A58" s="93">
        <v>44</v>
      </c>
      <c r="B58" s="96" t="s">
        <v>226</v>
      </c>
      <c r="C58" s="133">
        <v>325530</v>
      </c>
      <c r="D58" s="133">
        <v>27388</v>
      </c>
      <c r="E58" s="133">
        <v>2557.619</v>
      </c>
      <c r="F58" s="133">
        <v>16892</v>
      </c>
      <c r="G58" s="133">
        <v>4627</v>
      </c>
      <c r="H58" s="133">
        <f t="shared" si="2"/>
        <v>7420</v>
      </c>
      <c r="I58" s="133">
        <v>7307</v>
      </c>
      <c r="J58" s="133">
        <v>113</v>
      </c>
      <c r="K58" s="133">
        <v>10</v>
      </c>
      <c r="L58" s="133">
        <v>10</v>
      </c>
      <c r="M58" s="133">
        <f t="shared" si="3"/>
        <v>20</v>
      </c>
      <c r="N58" s="133">
        <v>20</v>
      </c>
      <c r="O58" s="257">
        <v>0</v>
      </c>
      <c r="P58" s="257">
        <v>0</v>
      </c>
      <c r="Q58" s="257">
        <v>0</v>
      </c>
      <c r="R58" s="257">
        <v>0</v>
      </c>
      <c r="S58" s="257">
        <v>0</v>
      </c>
      <c r="T58" s="257">
        <v>0</v>
      </c>
    </row>
    <row r="59" spans="1:20" s="71" customFormat="1" ht="27.75" customHeight="1">
      <c r="A59" s="93">
        <v>45</v>
      </c>
      <c r="B59" s="108" t="s">
        <v>231</v>
      </c>
      <c r="C59" s="133">
        <v>809571</v>
      </c>
      <c r="D59" s="133">
        <v>19381</v>
      </c>
      <c r="E59" s="133">
        <v>4294.09</v>
      </c>
      <c r="F59" s="122">
        <v>22267</v>
      </c>
      <c r="G59" s="122">
        <v>5606</v>
      </c>
      <c r="H59" s="133">
        <f t="shared" si="2"/>
        <v>8573</v>
      </c>
      <c r="I59" s="133">
        <v>8545</v>
      </c>
      <c r="J59" s="133">
        <v>28</v>
      </c>
      <c r="K59" s="133">
        <v>2</v>
      </c>
      <c r="L59" s="133">
        <v>2</v>
      </c>
      <c r="M59" s="133">
        <f t="shared" si="3"/>
        <v>22</v>
      </c>
      <c r="N59" s="133">
        <v>13</v>
      </c>
      <c r="O59" s="133">
        <f t="shared" si="4"/>
        <v>9</v>
      </c>
      <c r="P59" s="133">
        <v>9</v>
      </c>
      <c r="Q59" s="257">
        <v>0</v>
      </c>
      <c r="R59" s="257">
        <v>0</v>
      </c>
      <c r="S59" s="257">
        <v>0</v>
      </c>
      <c r="T59" s="257">
        <v>0</v>
      </c>
    </row>
    <row r="60" spans="1:20" s="71" customFormat="1" ht="15.75">
      <c r="A60" s="93">
        <v>46</v>
      </c>
      <c r="B60" s="109" t="s">
        <v>232</v>
      </c>
      <c r="C60" s="133">
        <v>1449813</v>
      </c>
      <c r="D60" s="133">
        <v>13213</v>
      </c>
      <c r="E60" s="133">
        <v>3575.094</v>
      </c>
      <c r="F60" s="122">
        <v>36970</v>
      </c>
      <c r="G60" s="122">
        <v>8656</v>
      </c>
      <c r="H60" s="133">
        <f t="shared" si="2"/>
        <v>14488</v>
      </c>
      <c r="I60" s="133">
        <v>14406</v>
      </c>
      <c r="J60" s="133">
        <v>82</v>
      </c>
      <c r="K60" s="133">
        <v>1</v>
      </c>
      <c r="L60" s="133">
        <v>1</v>
      </c>
      <c r="M60" s="133">
        <f t="shared" si="3"/>
        <v>35</v>
      </c>
      <c r="N60" s="133">
        <v>29</v>
      </c>
      <c r="O60" s="133">
        <f t="shared" si="4"/>
        <v>6</v>
      </c>
      <c r="P60" s="133">
        <v>5</v>
      </c>
      <c r="Q60" s="257">
        <v>0</v>
      </c>
      <c r="R60" s="133">
        <v>1</v>
      </c>
      <c r="S60" s="257">
        <v>0</v>
      </c>
      <c r="T60" s="257">
        <v>0</v>
      </c>
    </row>
    <row r="61" spans="1:20" s="71" customFormat="1" ht="15.75">
      <c r="A61" s="93">
        <v>47</v>
      </c>
      <c r="B61" s="109" t="s">
        <v>233</v>
      </c>
      <c r="C61" s="133">
        <v>655466</v>
      </c>
      <c r="D61" s="133">
        <v>12816</v>
      </c>
      <c r="E61" s="133">
        <v>2635.39</v>
      </c>
      <c r="F61" s="122">
        <v>24998</v>
      </c>
      <c r="G61" s="122">
        <v>5923</v>
      </c>
      <c r="H61" s="133">
        <f t="shared" si="2"/>
        <v>8882</v>
      </c>
      <c r="I61" s="133">
        <v>8815</v>
      </c>
      <c r="J61" s="133">
        <v>67</v>
      </c>
      <c r="K61" s="133">
        <v>6</v>
      </c>
      <c r="L61" s="133">
        <v>4</v>
      </c>
      <c r="M61" s="133">
        <f t="shared" si="3"/>
        <v>12</v>
      </c>
      <c r="N61" s="133">
        <v>11</v>
      </c>
      <c r="O61" s="133">
        <f t="shared" si="4"/>
        <v>1</v>
      </c>
      <c r="P61" s="133">
        <v>1</v>
      </c>
      <c r="Q61" s="257">
        <v>0</v>
      </c>
      <c r="R61" s="257">
        <v>0</v>
      </c>
      <c r="S61" s="257">
        <v>0</v>
      </c>
      <c r="T61" s="257">
        <v>0</v>
      </c>
    </row>
    <row r="62" spans="1:20" s="71" customFormat="1" ht="15.75">
      <c r="A62" s="93">
        <v>48</v>
      </c>
      <c r="B62" s="109" t="s">
        <v>234</v>
      </c>
      <c r="C62" s="133">
        <v>683434</v>
      </c>
      <c r="D62" s="133">
        <v>37331</v>
      </c>
      <c r="E62" s="133">
        <v>5154</v>
      </c>
      <c r="F62" s="122">
        <v>30474</v>
      </c>
      <c r="G62" s="122">
        <v>5649</v>
      </c>
      <c r="H62" s="133">
        <f t="shared" si="2"/>
        <v>11326</v>
      </c>
      <c r="I62" s="133">
        <v>11197</v>
      </c>
      <c r="J62" s="133">
        <v>129</v>
      </c>
      <c r="K62" s="133">
        <v>457</v>
      </c>
      <c r="L62" s="133">
        <v>455</v>
      </c>
      <c r="M62" s="133">
        <f t="shared" si="3"/>
        <v>81</v>
      </c>
      <c r="N62" s="133">
        <v>75</v>
      </c>
      <c r="O62" s="133">
        <f t="shared" si="4"/>
        <v>6</v>
      </c>
      <c r="P62" s="133">
        <v>5</v>
      </c>
      <c r="Q62" s="133">
        <v>1</v>
      </c>
      <c r="R62" s="257">
        <v>0</v>
      </c>
      <c r="S62" s="257">
        <v>0</v>
      </c>
      <c r="T62" s="257">
        <v>0</v>
      </c>
    </row>
    <row r="63" spans="1:20" s="71" customFormat="1" ht="15.75">
      <c r="A63" s="93">
        <v>49</v>
      </c>
      <c r="B63" s="109" t="s">
        <v>235</v>
      </c>
      <c r="C63" s="133">
        <v>736199</v>
      </c>
      <c r="D63" s="133">
        <v>6395</v>
      </c>
      <c r="E63" s="133">
        <v>1480.38</v>
      </c>
      <c r="F63" s="122">
        <v>15695</v>
      </c>
      <c r="G63" s="122">
        <v>3181</v>
      </c>
      <c r="H63" s="133">
        <f t="shared" si="2"/>
        <v>6033</v>
      </c>
      <c r="I63" s="133">
        <v>6003</v>
      </c>
      <c r="J63" s="133">
        <v>30</v>
      </c>
      <c r="K63" s="133">
        <v>6</v>
      </c>
      <c r="L63" s="133">
        <v>6</v>
      </c>
      <c r="M63" s="133">
        <f t="shared" si="3"/>
        <v>14</v>
      </c>
      <c r="N63" s="133">
        <v>14</v>
      </c>
      <c r="O63" s="257">
        <v>0</v>
      </c>
      <c r="P63" s="257">
        <v>0</v>
      </c>
      <c r="Q63" s="257">
        <v>0</v>
      </c>
      <c r="R63" s="257">
        <v>0</v>
      </c>
      <c r="S63" s="257">
        <v>0</v>
      </c>
      <c r="T63" s="257">
        <v>0</v>
      </c>
    </row>
    <row r="64" spans="1:20" s="71" customFormat="1" ht="15.75">
      <c r="A64" s="93">
        <v>50</v>
      </c>
      <c r="B64" s="109" t="s">
        <v>236</v>
      </c>
      <c r="C64" s="133">
        <v>540477</v>
      </c>
      <c r="D64" s="133">
        <v>26534</v>
      </c>
      <c r="E64" s="133">
        <v>2108.593</v>
      </c>
      <c r="F64" s="122">
        <v>36395</v>
      </c>
      <c r="G64" s="122">
        <v>7962</v>
      </c>
      <c r="H64" s="133">
        <f t="shared" si="2"/>
        <v>14928</v>
      </c>
      <c r="I64" s="133">
        <v>14749</v>
      </c>
      <c r="J64" s="133">
        <v>179</v>
      </c>
      <c r="K64" s="133">
        <v>21</v>
      </c>
      <c r="L64" s="133">
        <v>21</v>
      </c>
      <c r="M64" s="133">
        <f t="shared" si="3"/>
        <v>72</v>
      </c>
      <c r="N64" s="133">
        <v>64</v>
      </c>
      <c r="O64" s="133">
        <f t="shared" si="4"/>
        <v>8</v>
      </c>
      <c r="P64" s="133">
        <v>8</v>
      </c>
      <c r="Q64" s="257">
        <v>0</v>
      </c>
      <c r="R64" s="257">
        <v>0</v>
      </c>
      <c r="S64" s="257">
        <v>0</v>
      </c>
      <c r="T64" s="133">
        <v>11</v>
      </c>
    </row>
    <row r="65" spans="1:20" s="71" customFormat="1" ht="18" customHeight="1">
      <c r="A65" s="93">
        <v>51</v>
      </c>
      <c r="B65" s="110" t="s">
        <v>237</v>
      </c>
      <c r="C65" s="133">
        <v>746968</v>
      </c>
      <c r="D65" s="133">
        <v>547</v>
      </c>
      <c r="E65" s="133">
        <v>1811</v>
      </c>
      <c r="F65" s="122">
        <v>39967</v>
      </c>
      <c r="G65" s="122">
        <v>3989</v>
      </c>
      <c r="H65" s="133">
        <f t="shared" si="2"/>
        <v>10759</v>
      </c>
      <c r="I65" s="133">
        <v>10756</v>
      </c>
      <c r="J65" s="133">
        <v>3</v>
      </c>
      <c r="K65" s="133">
        <v>4</v>
      </c>
      <c r="L65" s="133">
        <v>4</v>
      </c>
      <c r="M65" s="133">
        <f t="shared" si="3"/>
        <v>75</v>
      </c>
      <c r="N65" s="133">
        <v>74</v>
      </c>
      <c r="O65" s="133">
        <f t="shared" si="4"/>
        <v>1</v>
      </c>
      <c r="P65" s="133">
        <v>1</v>
      </c>
      <c r="Q65" s="257">
        <v>0</v>
      </c>
      <c r="R65" s="257">
        <v>0</v>
      </c>
      <c r="S65" s="257">
        <v>0</v>
      </c>
      <c r="T65" s="257">
        <v>0</v>
      </c>
    </row>
    <row r="66" spans="1:20" s="70" customFormat="1" ht="27" customHeight="1">
      <c r="A66" s="93">
        <v>52</v>
      </c>
      <c r="B66" s="110" t="s">
        <v>238</v>
      </c>
      <c r="C66" s="133">
        <v>643961</v>
      </c>
      <c r="D66" s="133">
        <v>34320</v>
      </c>
      <c r="E66" s="133">
        <v>3259</v>
      </c>
      <c r="F66" s="122">
        <v>25733</v>
      </c>
      <c r="G66" s="122">
        <v>6236</v>
      </c>
      <c r="H66" s="133">
        <f t="shared" si="2"/>
        <v>11624</v>
      </c>
      <c r="I66" s="133">
        <v>11328</v>
      </c>
      <c r="J66" s="133">
        <v>296</v>
      </c>
      <c r="K66" s="133">
        <v>217</v>
      </c>
      <c r="L66" s="133">
        <v>213</v>
      </c>
      <c r="M66" s="133">
        <f t="shared" si="3"/>
        <v>20</v>
      </c>
      <c r="N66" s="133">
        <v>19</v>
      </c>
      <c r="O66" s="133">
        <f t="shared" si="4"/>
        <v>1</v>
      </c>
      <c r="P66" s="133">
        <v>1</v>
      </c>
      <c r="Q66" s="257">
        <v>0</v>
      </c>
      <c r="R66" s="257">
        <v>0</v>
      </c>
      <c r="S66" s="257">
        <v>0</v>
      </c>
      <c r="T66" s="257">
        <v>0</v>
      </c>
    </row>
    <row r="67" spans="1:20" s="71" customFormat="1" ht="15.75">
      <c r="A67" s="93">
        <v>53</v>
      </c>
      <c r="B67" s="110" t="s">
        <v>239</v>
      </c>
      <c r="C67" s="133">
        <v>998987</v>
      </c>
      <c r="D67" s="133">
        <v>63300</v>
      </c>
      <c r="E67" s="133">
        <v>1882.853</v>
      </c>
      <c r="F67" s="122">
        <v>33234</v>
      </c>
      <c r="G67" s="122">
        <v>11485</v>
      </c>
      <c r="H67" s="133">
        <f t="shared" si="2"/>
        <v>15637</v>
      </c>
      <c r="I67" s="133">
        <v>15528</v>
      </c>
      <c r="J67" s="133">
        <v>109</v>
      </c>
      <c r="K67" s="133">
        <v>49</v>
      </c>
      <c r="L67" s="133">
        <v>40</v>
      </c>
      <c r="M67" s="133">
        <f t="shared" si="3"/>
        <v>38</v>
      </c>
      <c r="N67" s="133">
        <v>38</v>
      </c>
      <c r="O67" s="257">
        <v>0</v>
      </c>
      <c r="P67" s="257">
        <v>0</v>
      </c>
      <c r="Q67" s="257">
        <v>0</v>
      </c>
      <c r="R67" s="257">
        <v>0</v>
      </c>
      <c r="S67" s="257">
        <v>0</v>
      </c>
      <c r="T67" s="133">
        <v>8</v>
      </c>
    </row>
    <row r="68" spans="1:20" s="71" customFormat="1" ht="24" customHeight="1">
      <c r="A68" s="93">
        <v>54</v>
      </c>
      <c r="B68" s="110" t="s">
        <v>240</v>
      </c>
      <c r="C68" s="133">
        <v>348653</v>
      </c>
      <c r="D68" s="133">
        <v>10145</v>
      </c>
      <c r="E68" s="133">
        <v>1615.425</v>
      </c>
      <c r="F68" s="122">
        <v>19382</v>
      </c>
      <c r="G68" s="122">
        <v>2656</v>
      </c>
      <c r="H68" s="133">
        <f t="shared" si="2"/>
        <v>10007</v>
      </c>
      <c r="I68" s="133">
        <v>9938</v>
      </c>
      <c r="J68" s="133">
        <v>69</v>
      </c>
      <c r="K68" s="133">
        <v>17</v>
      </c>
      <c r="L68" s="133">
        <v>16</v>
      </c>
      <c r="M68" s="133">
        <f t="shared" si="3"/>
        <v>45</v>
      </c>
      <c r="N68" s="133">
        <v>39</v>
      </c>
      <c r="O68" s="133">
        <f t="shared" si="4"/>
        <v>6</v>
      </c>
      <c r="P68" s="133">
        <v>5</v>
      </c>
      <c r="Q68" s="133">
        <v>1</v>
      </c>
      <c r="R68" s="257">
        <v>0</v>
      </c>
      <c r="S68" s="257">
        <v>0</v>
      </c>
      <c r="T68" s="257">
        <v>0</v>
      </c>
    </row>
    <row r="69" spans="1:20" s="70" customFormat="1" ht="15.75">
      <c r="A69" s="93">
        <v>55</v>
      </c>
      <c r="B69" s="110" t="s">
        <v>241</v>
      </c>
      <c r="C69" s="133">
        <v>1844743</v>
      </c>
      <c r="D69" s="133">
        <v>72883</v>
      </c>
      <c r="E69" s="133">
        <v>4914.963</v>
      </c>
      <c r="F69" s="122">
        <v>67017</v>
      </c>
      <c r="G69" s="122">
        <v>17858</v>
      </c>
      <c r="H69" s="133">
        <f t="shared" si="2"/>
        <v>34256</v>
      </c>
      <c r="I69" s="133">
        <v>34172</v>
      </c>
      <c r="J69" s="133">
        <v>84</v>
      </c>
      <c r="K69" s="133">
        <v>40</v>
      </c>
      <c r="L69" s="133">
        <v>32</v>
      </c>
      <c r="M69" s="133">
        <f t="shared" si="3"/>
        <v>114</v>
      </c>
      <c r="N69" s="133">
        <v>110</v>
      </c>
      <c r="O69" s="133">
        <f t="shared" si="4"/>
        <v>4</v>
      </c>
      <c r="P69" s="133">
        <v>4</v>
      </c>
      <c r="Q69" s="257">
        <v>0</v>
      </c>
      <c r="R69" s="257">
        <v>0</v>
      </c>
      <c r="S69" s="257">
        <v>0</v>
      </c>
      <c r="T69" s="257">
        <v>0</v>
      </c>
    </row>
    <row r="70" spans="1:20" s="70" customFormat="1" ht="25.5">
      <c r="A70" s="93">
        <v>56</v>
      </c>
      <c r="B70" s="110" t="s">
        <v>242</v>
      </c>
      <c r="C70" s="133">
        <v>458877</v>
      </c>
      <c r="D70" s="133">
        <v>10838</v>
      </c>
      <c r="E70" s="133">
        <v>2791.39</v>
      </c>
      <c r="F70" s="122">
        <v>24171</v>
      </c>
      <c r="G70" s="122">
        <v>7367</v>
      </c>
      <c r="H70" s="133">
        <f t="shared" si="2"/>
        <v>10822</v>
      </c>
      <c r="I70" s="133">
        <v>10442</v>
      </c>
      <c r="J70" s="133">
        <v>380</v>
      </c>
      <c r="K70" s="133">
        <v>10</v>
      </c>
      <c r="L70" s="133">
        <v>7</v>
      </c>
      <c r="M70" s="133">
        <f t="shared" si="3"/>
        <v>13</v>
      </c>
      <c r="N70" s="133">
        <v>13</v>
      </c>
      <c r="O70" s="257">
        <v>0</v>
      </c>
      <c r="P70" s="257">
        <v>0</v>
      </c>
      <c r="Q70" s="257">
        <v>0</v>
      </c>
      <c r="R70" s="257">
        <v>0</v>
      </c>
      <c r="S70" s="257">
        <v>0</v>
      </c>
      <c r="T70" s="133">
        <v>3</v>
      </c>
    </row>
    <row r="71" spans="1:20" s="71" customFormat="1" ht="15.75">
      <c r="A71" s="93">
        <v>57</v>
      </c>
      <c r="B71" s="110" t="s">
        <v>243</v>
      </c>
      <c r="C71" s="133">
        <v>673432</v>
      </c>
      <c r="D71" s="133">
        <v>24198</v>
      </c>
      <c r="E71" s="133">
        <v>3027</v>
      </c>
      <c r="F71" s="122">
        <v>28941</v>
      </c>
      <c r="G71" s="122">
        <v>9815</v>
      </c>
      <c r="H71" s="133">
        <f t="shared" si="2"/>
        <v>15512</v>
      </c>
      <c r="I71" s="133">
        <v>15138</v>
      </c>
      <c r="J71" s="133">
        <v>374</v>
      </c>
      <c r="K71" s="133">
        <v>31</v>
      </c>
      <c r="L71" s="133">
        <v>31</v>
      </c>
      <c r="M71" s="133">
        <f t="shared" si="3"/>
        <v>43</v>
      </c>
      <c r="N71" s="133">
        <v>43</v>
      </c>
      <c r="O71" s="257">
        <v>0</v>
      </c>
      <c r="P71" s="257">
        <v>0</v>
      </c>
      <c r="Q71" s="257">
        <v>0</v>
      </c>
      <c r="R71" s="257">
        <v>0</v>
      </c>
      <c r="S71" s="257">
        <v>0</v>
      </c>
      <c r="T71" s="257">
        <v>0</v>
      </c>
    </row>
    <row r="72" spans="1:20" s="71" customFormat="1" ht="25.5">
      <c r="A72" s="93">
        <v>58</v>
      </c>
      <c r="B72" s="110" t="s">
        <v>244</v>
      </c>
      <c r="C72" s="133">
        <v>16639505</v>
      </c>
      <c r="D72" s="133">
        <v>1951730</v>
      </c>
      <c r="E72" s="133">
        <v>82660.52</v>
      </c>
      <c r="F72" s="122">
        <v>112129</v>
      </c>
      <c r="G72" s="122">
        <v>28739</v>
      </c>
      <c r="H72" s="133">
        <f t="shared" si="2"/>
        <v>52337</v>
      </c>
      <c r="I72" s="133">
        <v>49068</v>
      </c>
      <c r="J72" s="133">
        <v>3269</v>
      </c>
      <c r="K72" s="133">
        <v>427</v>
      </c>
      <c r="L72" s="133">
        <v>416</v>
      </c>
      <c r="M72" s="133">
        <f t="shared" si="3"/>
        <v>374</v>
      </c>
      <c r="N72" s="133">
        <v>283</v>
      </c>
      <c r="O72" s="133">
        <f t="shared" si="4"/>
        <v>91</v>
      </c>
      <c r="P72" s="133">
        <v>39</v>
      </c>
      <c r="Q72" s="133">
        <v>52</v>
      </c>
      <c r="R72" s="257">
        <v>0</v>
      </c>
      <c r="S72" s="257">
        <v>0</v>
      </c>
      <c r="T72" s="257">
        <v>0</v>
      </c>
    </row>
    <row r="73" spans="1:20" s="71" customFormat="1" ht="18" customHeight="1">
      <c r="A73" s="93">
        <v>59</v>
      </c>
      <c r="B73" s="110" t="s">
        <v>245</v>
      </c>
      <c r="C73" s="133">
        <v>121002</v>
      </c>
      <c r="D73" s="133">
        <v>5882</v>
      </c>
      <c r="E73" s="133">
        <v>358.294</v>
      </c>
      <c r="F73" s="122">
        <v>37204</v>
      </c>
      <c r="G73" s="122">
        <v>6947</v>
      </c>
      <c r="H73" s="133">
        <f t="shared" si="2"/>
        <v>14425</v>
      </c>
      <c r="I73" s="133">
        <v>14178</v>
      </c>
      <c r="J73" s="133">
        <v>247</v>
      </c>
      <c r="K73" s="133">
        <v>31</v>
      </c>
      <c r="L73" s="133">
        <v>29</v>
      </c>
      <c r="M73" s="133">
        <f t="shared" si="3"/>
        <v>35</v>
      </c>
      <c r="N73" s="133">
        <v>34</v>
      </c>
      <c r="O73" s="133">
        <f t="shared" si="4"/>
        <v>1</v>
      </c>
      <c r="P73" s="133">
        <v>1</v>
      </c>
      <c r="Q73" s="257">
        <v>0</v>
      </c>
      <c r="R73" s="257">
        <v>0</v>
      </c>
      <c r="S73" s="257">
        <v>0</v>
      </c>
      <c r="T73" s="257">
        <v>0</v>
      </c>
    </row>
    <row r="74" spans="1:20" s="71" customFormat="1" ht="25.5">
      <c r="A74" s="93">
        <v>60</v>
      </c>
      <c r="B74" s="110" t="s">
        <v>246</v>
      </c>
      <c r="C74" s="133">
        <v>407337</v>
      </c>
      <c r="D74" s="133">
        <v>2879</v>
      </c>
      <c r="E74" s="133">
        <v>3072.7</v>
      </c>
      <c r="F74" s="122">
        <v>21516</v>
      </c>
      <c r="G74" s="122">
        <v>4696</v>
      </c>
      <c r="H74" s="133">
        <f t="shared" si="2"/>
        <v>8056</v>
      </c>
      <c r="I74" s="133">
        <v>8031</v>
      </c>
      <c r="J74" s="133">
        <v>25</v>
      </c>
      <c r="K74" s="133">
        <v>10</v>
      </c>
      <c r="L74" s="133">
        <v>10</v>
      </c>
      <c r="M74" s="133">
        <f t="shared" si="3"/>
        <v>47</v>
      </c>
      <c r="N74" s="133">
        <v>34</v>
      </c>
      <c r="O74" s="133">
        <f t="shared" si="4"/>
        <v>13</v>
      </c>
      <c r="P74" s="257">
        <v>0</v>
      </c>
      <c r="Q74" s="257">
        <v>0</v>
      </c>
      <c r="R74" s="133">
        <v>13</v>
      </c>
      <c r="S74" s="257">
        <v>0</v>
      </c>
      <c r="T74" s="257">
        <v>0</v>
      </c>
    </row>
    <row r="75" spans="1:20" s="71" customFormat="1" ht="15.75">
      <c r="A75" s="93">
        <v>61</v>
      </c>
      <c r="B75" s="110" t="s">
        <v>247</v>
      </c>
      <c r="C75" s="133">
        <v>657705</v>
      </c>
      <c r="D75" s="133">
        <v>37172</v>
      </c>
      <c r="E75" s="133">
        <v>846</v>
      </c>
      <c r="F75" s="122">
        <v>18833</v>
      </c>
      <c r="G75" s="122">
        <v>5413</v>
      </c>
      <c r="H75" s="133">
        <f t="shared" si="2"/>
        <v>9384</v>
      </c>
      <c r="I75" s="133">
        <v>9015</v>
      </c>
      <c r="J75" s="133">
        <v>369</v>
      </c>
      <c r="K75" s="133">
        <v>125</v>
      </c>
      <c r="L75" s="133">
        <v>124</v>
      </c>
      <c r="M75" s="133">
        <f t="shared" si="3"/>
        <v>34</v>
      </c>
      <c r="N75" s="133">
        <v>24</v>
      </c>
      <c r="O75" s="133">
        <f t="shared" si="4"/>
        <v>10</v>
      </c>
      <c r="P75" s="133">
        <v>9</v>
      </c>
      <c r="Q75" s="133">
        <v>1</v>
      </c>
      <c r="R75" s="257">
        <v>0</v>
      </c>
      <c r="S75" s="257">
        <v>0</v>
      </c>
      <c r="T75" s="257">
        <v>0</v>
      </c>
    </row>
    <row r="76" spans="1:20" s="71" customFormat="1" ht="15.75">
      <c r="A76" s="93">
        <v>62</v>
      </c>
      <c r="B76" s="110" t="s">
        <v>248</v>
      </c>
      <c r="C76" s="133">
        <v>445169</v>
      </c>
      <c r="D76" s="133">
        <v>8101</v>
      </c>
      <c r="E76" s="133">
        <v>750</v>
      </c>
      <c r="F76" s="122">
        <v>25239</v>
      </c>
      <c r="G76" s="122">
        <v>5296</v>
      </c>
      <c r="H76" s="133">
        <f t="shared" si="2"/>
        <v>10206</v>
      </c>
      <c r="I76" s="133">
        <v>10169</v>
      </c>
      <c r="J76" s="133">
        <v>37</v>
      </c>
      <c r="K76" s="133">
        <v>16</v>
      </c>
      <c r="L76" s="133">
        <v>15</v>
      </c>
      <c r="M76" s="133">
        <f t="shared" si="3"/>
        <v>39</v>
      </c>
      <c r="N76" s="133">
        <v>36</v>
      </c>
      <c r="O76" s="133">
        <f t="shared" si="4"/>
        <v>3</v>
      </c>
      <c r="P76" s="133">
        <v>3</v>
      </c>
      <c r="Q76" s="257">
        <v>0</v>
      </c>
      <c r="R76" s="257">
        <v>0</v>
      </c>
      <c r="S76" s="257">
        <v>0</v>
      </c>
      <c r="T76" s="257">
        <v>0</v>
      </c>
    </row>
    <row r="77" spans="1:20" s="70" customFormat="1" ht="18" customHeight="1">
      <c r="A77" s="93">
        <v>63</v>
      </c>
      <c r="B77" s="110" t="s">
        <v>249</v>
      </c>
      <c r="C77" s="133">
        <v>286855</v>
      </c>
      <c r="D77" s="133">
        <v>6356</v>
      </c>
      <c r="E77" s="133">
        <v>1082.72</v>
      </c>
      <c r="F77" s="122">
        <v>23562</v>
      </c>
      <c r="G77" s="122">
        <v>3166</v>
      </c>
      <c r="H77" s="133">
        <f t="shared" si="2"/>
        <v>7050</v>
      </c>
      <c r="I77" s="133">
        <v>7036</v>
      </c>
      <c r="J77" s="133">
        <v>14</v>
      </c>
      <c r="K77" s="133">
        <v>9</v>
      </c>
      <c r="L77" s="133">
        <v>8</v>
      </c>
      <c r="M77" s="133">
        <f t="shared" si="3"/>
        <v>45</v>
      </c>
      <c r="N77" s="133">
        <v>45</v>
      </c>
      <c r="O77" s="257">
        <v>0</v>
      </c>
      <c r="P77" s="257">
        <v>0</v>
      </c>
      <c r="Q77" s="190">
        <v>0</v>
      </c>
      <c r="R77" s="257">
        <v>0</v>
      </c>
      <c r="S77" s="257">
        <v>0</v>
      </c>
      <c r="T77" s="257">
        <v>0</v>
      </c>
    </row>
    <row r="78" ht="13.5" customHeight="1"/>
    <row r="79" ht="13.5" customHeight="1"/>
    <row r="80" spans="1:19" s="102" customFormat="1" ht="12.75">
      <c r="A80" s="32"/>
      <c r="B80" s="32" t="s">
        <v>252</v>
      </c>
      <c r="C80" s="32" t="s">
        <v>303</v>
      </c>
      <c r="D80" s="32"/>
      <c r="E80" s="32"/>
      <c r="F80" s="32"/>
      <c r="G80" s="32"/>
      <c r="H80" s="32"/>
      <c r="I80" s="32"/>
      <c r="J80" s="32"/>
      <c r="K80" s="100"/>
      <c r="L80" s="32"/>
      <c r="M80" s="32"/>
      <c r="N80" s="32"/>
      <c r="O80" s="32"/>
      <c r="P80" s="32"/>
      <c r="Q80" s="32"/>
      <c r="R80" s="32"/>
      <c r="S80" s="101"/>
    </row>
    <row r="81" spans="1:19" s="102" customFormat="1" ht="12.75">
      <c r="A81" s="32"/>
      <c r="B81" s="32" t="s">
        <v>304</v>
      </c>
      <c r="C81" s="32" t="s">
        <v>305</v>
      </c>
      <c r="D81" s="32"/>
      <c r="E81" s="32"/>
      <c r="F81" s="32"/>
      <c r="G81" s="32"/>
      <c r="H81" s="32"/>
      <c r="I81" s="32"/>
      <c r="J81" s="32"/>
      <c r="K81" s="100"/>
      <c r="L81" s="32"/>
      <c r="M81" s="32"/>
      <c r="N81" s="32"/>
      <c r="O81" s="32"/>
      <c r="P81" s="32"/>
      <c r="Q81" s="32"/>
      <c r="R81" s="32"/>
      <c r="S81" s="101"/>
    </row>
    <row r="82" spans="1:18" s="99" customFormat="1" ht="12.75">
      <c r="A82" s="32"/>
      <c r="B82" s="32" t="s">
        <v>278</v>
      </c>
      <c r="C82" s="32" t="s">
        <v>306</v>
      </c>
      <c r="E82" s="32"/>
      <c r="F82" s="32"/>
      <c r="G82" s="32"/>
      <c r="H82" s="32"/>
      <c r="I82" s="32"/>
      <c r="J82" s="32"/>
      <c r="K82" s="100"/>
      <c r="L82" s="32"/>
      <c r="M82" s="32"/>
      <c r="N82" s="32"/>
      <c r="O82" s="32"/>
      <c r="P82" s="32"/>
      <c r="Q82" s="32"/>
      <c r="R82" s="32"/>
    </row>
    <row r="83" spans="1:20" s="102" customFormat="1" ht="12.75">
      <c r="A83" s="32"/>
      <c r="B83" s="32"/>
      <c r="C83" s="32"/>
      <c r="D83" s="32"/>
      <c r="E83" s="184"/>
      <c r="F83" s="32"/>
      <c r="G83" s="32"/>
      <c r="H83" s="32"/>
      <c r="I83" s="32"/>
      <c r="J83" s="32"/>
      <c r="K83" s="100"/>
      <c r="L83" s="32"/>
      <c r="M83" s="32"/>
      <c r="N83" s="32"/>
      <c r="O83" s="32"/>
      <c r="P83" s="32"/>
      <c r="Q83" s="32"/>
      <c r="R83" s="32"/>
      <c r="S83" s="101"/>
      <c r="T83" s="101"/>
    </row>
    <row r="84" spans="1:20" s="102" customFormat="1" ht="34.5" customHeight="1">
      <c r="A84" s="32"/>
      <c r="B84" s="337" t="s">
        <v>309</v>
      </c>
      <c r="C84" s="337"/>
      <c r="D84" s="337"/>
      <c r="E84" s="337"/>
      <c r="F84" s="337"/>
      <c r="G84" s="337"/>
      <c r="H84" s="337"/>
      <c r="I84" s="337"/>
      <c r="J84" s="337"/>
      <c r="K84" s="337"/>
      <c r="L84" s="337"/>
      <c r="M84" s="337"/>
      <c r="N84" s="337"/>
      <c r="O84" s="337"/>
      <c r="P84" s="337"/>
      <c r="Q84" s="337"/>
      <c r="R84" s="337"/>
      <c r="S84" s="337"/>
      <c r="T84" s="337"/>
    </row>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6.5" customHeight="1"/>
    <row r="114" ht="7.5" customHeight="1"/>
  </sheetData>
  <sheetProtection/>
  <mergeCells count="34">
    <mergeCell ref="A3:T3"/>
    <mergeCell ref="A4:T4"/>
    <mergeCell ref="A2:R2"/>
    <mergeCell ref="N8:N10"/>
    <mergeCell ref="O8:R8"/>
    <mergeCell ref="I9:I10"/>
    <mergeCell ref="J9:J10"/>
    <mergeCell ref="K9:K10"/>
    <mergeCell ref="L9:L10"/>
    <mergeCell ref="M6:R6"/>
    <mergeCell ref="C6:E6"/>
    <mergeCell ref="A6:B10"/>
    <mergeCell ref="H7:J7"/>
    <mergeCell ref="H8:H10"/>
    <mergeCell ref="I8:J8"/>
    <mergeCell ref="S6:T6"/>
    <mergeCell ref="S7:S10"/>
    <mergeCell ref="F6:L6"/>
    <mergeCell ref="C7:C10"/>
    <mergeCell ref="P9:R9"/>
    <mergeCell ref="D7:D10"/>
    <mergeCell ref="O9:O10"/>
    <mergeCell ref="M7:M10"/>
    <mergeCell ref="K7:L8"/>
    <mergeCell ref="B84:T84"/>
    <mergeCell ref="T7:T10"/>
    <mergeCell ref="A14:B14"/>
    <mergeCell ref="F7:F10"/>
    <mergeCell ref="G7:G10"/>
    <mergeCell ref="E7:E10"/>
    <mergeCell ref="N7:R7"/>
    <mergeCell ref="A12:B12"/>
    <mergeCell ref="A13:B13"/>
    <mergeCell ref="A11:B11"/>
  </mergeCells>
  <printOptions/>
  <pageMargins left="1.3" right="0.2" top="1" bottom="0.5" header="0" footer="0"/>
  <pageSetup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dimension ref="A1:Q78"/>
  <sheetViews>
    <sheetView zoomScalePageLayoutView="0" workbookViewId="0" topLeftCell="A1">
      <pane ySplit="5505" topLeftCell="A72" activePane="bottomLeft" state="split"/>
      <selection pane="topLeft" activeCell="I12" sqref="I12"/>
      <selection pane="bottomLeft" activeCell="C10" sqref="C10:Q10"/>
    </sheetView>
  </sheetViews>
  <sheetFormatPr defaultColWidth="9.140625" defaultRowHeight="12.75"/>
  <cols>
    <col min="1" max="1" width="4.421875" style="14" customWidth="1"/>
    <col min="2" max="2" width="12.00390625" style="14" customWidth="1"/>
    <col min="3" max="3" width="8.8515625" style="14" customWidth="1"/>
    <col min="4" max="4" width="10.140625" style="14" customWidth="1"/>
    <col min="5" max="5" width="7.7109375" style="14" customWidth="1"/>
    <col min="6" max="6" width="10.00390625" style="14" customWidth="1"/>
    <col min="7" max="7" width="8.421875" style="14" customWidth="1"/>
    <col min="8" max="8" width="7.7109375" style="14" customWidth="1"/>
    <col min="9" max="9" width="9.7109375" style="14" customWidth="1"/>
    <col min="10" max="10" width="6.8515625" style="14" customWidth="1"/>
    <col min="11" max="11" width="8.421875" style="14" customWidth="1"/>
    <col min="12" max="12" width="7.140625" style="14" customWidth="1"/>
    <col min="13" max="13" width="7.8515625" style="14" customWidth="1"/>
    <col min="14" max="14" width="5.57421875" style="14" customWidth="1"/>
    <col min="15" max="15" width="5.8515625" style="14" customWidth="1"/>
    <col min="16" max="16" width="6.140625" style="14" customWidth="1"/>
    <col min="17" max="17" width="6.7109375" style="14" customWidth="1"/>
    <col min="18" max="16384" width="9.140625" style="14" customWidth="1"/>
  </cols>
  <sheetData>
    <row r="1" spans="1:5" s="32" customFormat="1" ht="21.75" customHeight="1">
      <c r="A1" s="60" t="s">
        <v>7</v>
      </c>
      <c r="D1" s="60"/>
      <c r="E1" s="30"/>
    </row>
    <row r="2" spans="4:17" s="32" customFormat="1" ht="25.5" customHeight="1">
      <c r="D2" s="31"/>
      <c r="E2" s="189"/>
      <c r="F2" s="31"/>
      <c r="G2" s="31"/>
      <c r="H2" s="31"/>
      <c r="I2" s="31" t="s">
        <v>71</v>
      </c>
      <c r="J2" s="31"/>
      <c r="K2" s="31"/>
      <c r="L2" s="33"/>
      <c r="M2" s="33"/>
      <c r="N2" s="33"/>
      <c r="O2" s="33"/>
      <c r="P2" s="33"/>
      <c r="Q2" s="33"/>
    </row>
    <row r="3" spans="1:17" s="32" customFormat="1" ht="29.25" customHeight="1">
      <c r="A3" s="326" t="s">
        <v>147</v>
      </c>
      <c r="B3" s="326"/>
      <c r="C3" s="326"/>
      <c r="D3" s="326"/>
      <c r="E3" s="326"/>
      <c r="F3" s="326"/>
      <c r="G3" s="326"/>
      <c r="H3" s="326"/>
      <c r="I3" s="326"/>
      <c r="J3" s="326"/>
      <c r="K3" s="326"/>
      <c r="L3" s="326"/>
      <c r="M3" s="326"/>
      <c r="N3" s="326"/>
      <c r="O3" s="326"/>
      <c r="P3" s="326"/>
      <c r="Q3" s="326"/>
    </row>
    <row r="4" spans="1:17" s="32" customFormat="1" ht="18.75">
      <c r="A4" s="326" t="s">
        <v>283</v>
      </c>
      <c r="B4" s="326"/>
      <c r="C4" s="326"/>
      <c r="D4" s="326"/>
      <c r="E4" s="326"/>
      <c r="F4" s="326"/>
      <c r="G4" s="326"/>
      <c r="H4" s="326"/>
      <c r="I4" s="326"/>
      <c r="J4" s="326"/>
      <c r="K4" s="326"/>
      <c r="L4" s="326"/>
      <c r="M4" s="326"/>
      <c r="N4" s="326"/>
      <c r="O4" s="326"/>
      <c r="P4" s="326"/>
      <c r="Q4" s="326"/>
    </row>
    <row r="5" spans="6:17" ht="12.75">
      <c r="F5" s="52"/>
      <c r="G5" s="32"/>
      <c r="H5" s="32"/>
      <c r="I5" s="32"/>
      <c r="J5" s="32"/>
      <c r="K5" s="32"/>
      <c r="L5" s="32"/>
      <c r="M5" s="32"/>
      <c r="N5" s="32"/>
      <c r="O5" s="32"/>
      <c r="P5" s="32"/>
      <c r="Q5" s="32"/>
    </row>
    <row r="6" spans="1:17" ht="28.5" customHeight="1">
      <c r="A6" s="353"/>
      <c r="B6" s="354"/>
      <c r="C6" s="361" t="s">
        <v>112</v>
      </c>
      <c r="D6" s="362"/>
      <c r="E6" s="363"/>
      <c r="F6" s="349" t="s">
        <v>113</v>
      </c>
      <c r="G6" s="349"/>
      <c r="H6" s="349"/>
      <c r="I6" s="349"/>
      <c r="J6" s="349"/>
      <c r="K6" s="349"/>
      <c r="L6" s="349" t="s">
        <v>114</v>
      </c>
      <c r="M6" s="349"/>
      <c r="N6" s="349"/>
      <c r="O6" s="349"/>
      <c r="P6" s="349"/>
      <c r="Q6" s="349"/>
    </row>
    <row r="7" spans="1:17" ht="24.75" customHeight="1">
      <c r="A7" s="355"/>
      <c r="B7" s="356"/>
      <c r="C7" s="298" t="s">
        <v>9</v>
      </c>
      <c r="D7" s="364" t="s">
        <v>69</v>
      </c>
      <c r="E7" s="364"/>
      <c r="F7" s="350" t="s">
        <v>9</v>
      </c>
      <c r="G7" s="319" t="s">
        <v>105</v>
      </c>
      <c r="H7" s="319"/>
      <c r="I7" s="319"/>
      <c r="J7" s="319" t="s">
        <v>106</v>
      </c>
      <c r="K7" s="319"/>
      <c r="L7" s="350" t="s">
        <v>9</v>
      </c>
      <c r="M7" s="319" t="s">
        <v>105</v>
      </c>
      <c r="N7" s="319"/>
      <c r="O7" s="319"/>
      <c r="P7" s="319" t="s">
        <v>106</v>
      </c>
      <c r="Q7" s="319"/>
    </row>
    <row r="8" spans="1:17" s="57" customFormat="1" ht="88.5" customHeight="1">
      <c r="A8" s="357"/>
      <c r="B8" s="358"/>
      <c r="C8" s="298"/>
      <c r="D8" s="37" t="s">
        <v>19</v>
      </c>
      <c r="E8" s="37" t="s">
        <v>20</v>
      </c>
      <c r="F8" s="350"/>
      <c r="G8" s="37" t="s">
        <v>19</v>
      </c>
      <c r="H8" s="37" t="s">
        <v>20</v>
      </c>
      <c r="I8" s="37" t="s">
        <v>21</v>
      </c>
      <c r="J8" s="37" t="s">
        <v>107</v>
      </c>
      <c r="K8" s="37" t="s">
        <v>108</v>
      </c>
      <c r="L8" s="350"/>
      <c r="M8" s="37" t="s">
        <v>19</v>
      </c>
      <c r="N8" s="37" t="s">
        <v>20</v>
      </c>
      <c r="O8" s="37" t="s">
        <v>109</v>
      </c>
      <c r="P8" s="37" t="s">
        <v>110</v>
      </c>
      <c r="Q8" s="37" t="s">
        <v>111</v>
      </c>
    </row>
    <row r="9" spans="1:17" s="59" customFormat="1" ht="12.75">
      <c r="A9" s="359" t="s">
        <v>40</v>
      </c>
      <c r="B9" s="360"/>
      <c r="C9" s="58">
        <v>1</v>
      </c>
      <c r="D9" s="58">
        <v>2</v>
      </c>
      <c r="E9" s="58">
        <v>3</v>
      </c>
      <c r="F9" s="58">
        <v>4</v>
      </c>
      <c r="G9" s="58">
        <v>5</v>
      </c>
      <c r="H9" s="58">
        <v>6</v>
      </c>
      <c r="I9" s="58">
        <v>7</v>
      </c>
      <c r="J9" s="58">
        <v>8</v>
      </c>
      <c r="K9" s="58">
        <v>9</v>
      </c>
      <c r="L9" s="58">
        <v>10</v>
      </c>
      <c r="M9" s="58">
        <v>11</v>
      </c>
      <c r="N9" s="58">
        <v>12</v>
      </c>
      <c r="O9" s="58">
        <v>13</v>
      </c>
      <c r="P9" s="58">
        <v>14</v>
      </c>
      <c r="Q9" s="58">
        <v>15</v>
      </c>
    </row>
    <row r="10" spans="1:17" s="186" customFormat="1" ht="31.5" customHeight="1">
      <c r="A10" s="351" t="s">
        <v>96</v>
      </c>
      <c r="B10" s="352"/>
      <c r="C10" s="224">
        <f aca="true" t="shared" si="0" ref="C10:Q10">SUM(C11:C73)</f>
        <v>144440</v>
      </c>
      <c r="D10" s="224">
        <f t="shared" si="0"/>
        <v>140907</v>
      </c>
      <c r="E10" s="224">
        <f t="shared" si="0"/>
        <v>3533</v>
      </c>
      <c r="F10" s="224">
        <f t="shared" si="0"/>
        <v>214973</v>
      </c>
      <c r="G10" s="205">
        <f t="shared" si="0"/>
        <v>184094</v>
      </c>
      <c r="H10" s="224">
        <f t="shared" si="0"/>
        <v>5574</v>
      </c>
      <c r="I10" s="224">
        <f t="shared" si="0"/>
        <v>6</v>
      </c>
      <c r="J10" s="224">
        <f t="shared" si="0"/>
        <v>479</v>
      </c>
      <c r="K10" s="205">
        <f>SUM(K11:K73)</f>
        <v>213503</v>
      </c>
      <c r="L10" s="205">
        <f t="shared" si="0"/>
        <v>54163</v>
      </c>
      <c r="M10" s="205">
        <f t="shared" si="0"/>
        <v>33706</v>
      </c>
      <c r="N10" s="224">
        <f t="shared" si="0"/>
        <v>87</v>
      </c>
      <c r="O10" s="224">
        <f t="shared" si="0"/>
        <v>4</v>
      </c>
      <c r="P10" s="224">
        <f t="shared" si="0"/>
        <v>525</v>
      </c>
      <c r="Q10" s="205">
        <f t="shared" si="0"/>
        <v>53538</v>
      </c>
    </row>
    <row r="11" spans="1:17" ht="15.75">
      <c r="A11" s="79">
        <v>1</v>
      </c>
      <c r="B11" s="80" t="s">
        <v>167</v>
      </c>
      <c r="C11" s="133">
        <f>D11+E11</f>
        <v>3956</v>
      </c>
      <c r="D11" s="133">
        <v>3950</v>
      </c>
      <c r="E11" s="133">
        <v>6</v>
      </c>
      <c r="F11" s="133">
        <f>G11+H11+I11</f>
        <v>7014</v>
      </c>
      <c r="G11" s="133">
        <v>7002</v>
      </c>
      <c r="H11" s="133">
        <v>12</v>
      </c>
      <c r="I11" s="257">
        <v>0</v>
      </c>
      <c r="J11" s="172">
        <v>4</v>
      </c>
      <c r="K11" s="133">
        <v>7010</v>
      </c>
      <c r="L11" s="133">
        <f>M11+N11+O11</f>
        <v>898</v>
      </c>
      <c r="M11" s="133">
        <v>898</v>
      </c>
      <c r="N11" s="257">
        <v>0</v>
      </c>
      <c r="O11" s="257">
        <v>0</v>
      </c>
      <c r="P11" s="133">
        <v>8</v>
      </c>
      <c r="Q11" s="133">
        <v>890</v>
      </c>
    </row>
    <row r="12" spans="1:17" ht="30">
      <c r="A12" s="79">
        <v>2</v>
      </c>
      <c r="B12" s="80" t="s">
        <v>251</v>
      </c>
      <c r="C12" s="133">
        <f aca="true" t="shared" si="1" ref="C12:C26">D12+E12</f>
        <v>2122</v>
      </c>
      <c r="D12" s="133">
        <v>2122</v>
      </c>
      <c r="E12" s="257">
        <v>0</v>
      </c>
      <c r="F12" s="133">
        <f aca="true" t="shared" si="2" ref="F12:F34">G12+H12+I12</f>
        <v>3039</v>
      </c>
      <c r="G12" s="133">
        <v>2667</v>
      </c>
      <c r="H12" s="133">
        <v>372</v>
      </c>
      <c r="I12" s="257">
        <v>0</v>
      </c>
      <c r="J12" s="133">
        <v>2</v>
      </c>
      <c r="K12" s="133">
        <v>3037</v>
      </c>
      <c r="L12" s="133">
        <f>M12+N12+O12</f>
        <v>1459</v>
      </c>
      <c r="M12" s="133">
        <v>1459</v>
      </c>
      <c r="N12" s="257">
        <v>0</v>
      </c>
      <c r="O12" s="257">
        <v>0</v>
      </c>
      <c r="P12" s="133">
        <v>21</v>
      </c>
      <c r="Q12" s="133">
        <v>1438</v>
      </c>
    </row>
    <row r="13" spans="1:17" ht="15.75">
      <c r="A13" s="79">
        <v>3</v>
      </c>
      <c r="B13" s="80" t="s">
        <v>168</v>
      </c>
      <c r="C13" s="133">
        <f t="shared" si="1"/>
        <v>475</v>
      </c>
      <c r="D13" s="133">
        <v>475</v>
      </c>
      <c r="E13" s="257">
        <v>0</v>
      </c>
      <c r="F13" s="133">
        <f t="shared" si="2"/>
        <v>4690</v>
      </c>
      <c r="G13" s="133">
        <v>4600</v>
      </c>
      <c r="H13" s="133">
        <v>90</v>
      </c>
      <c r="I13" s="257">
        <v>0</v>
      </c>
      <c r="J13" s="133">
        <v>4</v>
      </c>
      <c r="K13" s="133">
        <v>4686</v>
      </c>
      <c r="L13" s="133">
        <f aca="true" t="shared" si="3" ref="L13:L73">M13+N13+O13</f>
        <v>32</v>
      </c>
      <c r="M13" s="133">
        <v>32</v>
      </c>
      <c r="N13" s="257">
        <v>0</v>
      </c>
      <c r="O13" s="257">
        <v>0</v>
      </c>
      <c r="P13" s="133"/>
      <c r="Q13" s="133">
        <v>32</v>
      </c>
    </row>
    <row r="14" spans="1:17" ht="15.75">
      <c r="A14" s="79">
        <v>4</v>
      </c>
      <c r="B14" s="80" t="s">
        <v>169</v>
      </c>
      <c r="C14" s="133">
        <f t="shared" si="1"/>
        <v>328</v>
      </c>
      <c r="D14" s="133">
        <v>328</v>
      </c>
      <c r="E14" s="257">
        <v>0</v>
      </c>
      <c r="F14" s="133">
        <f t="shared" si="2"/>
        <v>319</v>
      </c>
      <c r="G14" s="133">
        <v>319</v>
      </c>
      <c r="H14" s="257">
        <v>0</v>
      </c>
      <c r="I14" s="257">
        <v>0</v>
      </c>
      <c r="J14" s="133">
        <v>5</v>
      </c>
      <c r="K14" s="133">
        <v>314</v>
      </c>
      <c r="L14" s="133">
        <f t="shared" si="3"/>
        <v>6</v>
      </c>
      <c r="M14" s="133">
        <v>6</v>
      </c>
      <c r="N14" s="257">
        <v>0</v>
      </c>
      <c r="O14" s="257">
        <v>0</v>
      </c>
      <c r="P14" s="257">
        <v>0</v>
      </c>
      <c r="Q14" s="133">
        <v>6</v>
      </c>
    </row>
    <row r="15" spans="1:17" ht="15.75">
      <c r="A15" s="79">
        <v>5</v>
      </c>
      <c r="B15" s="80" t="s">
        <v>170</v>
      </c>
      <c r="C15" s="133">
        <f t="shared" si="1"/>
        <v>2046</v>
      </c>
      <c r="D15" s="133">
        <v>2046</v>
      </c>
      <c r="E15" s="257">
        <v>0</v>
      </c>
      <c r="F15" s="133">
        <f t="shared" si="2"/>
        <v>1185</v>
      </c>
      <c r="G15" s="133">
        <v>1185</v>
      </c>
      <c r="H15" s="257">
        <v>0</v>
      </c>
      <c r="I15" s="257">
        <v>0</v>
      </c>
      <c r="J15" s="133">
        <v>2</v>
      </c>
      <c r="K15" s="133">
        <v>1183</v>
      </c>
      <c r="L15" s="133">
        <f t="shared" si="3"/>
        <v>413</v>
      </c>
      <c r="M15" s="133">
        <v>413</v>
      </c>
      <c r="N15" s="257">
        <v>0</v>
      </c>
      <c r="O15" s="257">
        <v>0</v>
      </c>
      <c r="P15" s="257">
        <v>0</v>
      </c>
      <c r="Q15" s="133">
        <v>413</v>
      </c>
    </row>
    <row r="16" spans="1:17" ht="15.75">
      <c r="A16" s="79">
        <v>6</v>
      </c>
      <c r="B16" s="80" t="s">
        <v>171</v>
      </c>
      <c r="C16" s="133">
        <f t="shared" si="1"/>
        <v>2394</v>
      </c>
      <c r="D16" s="133">
        <v>2164</v>
      </c>
      <c r="E16" s="133">
        <v>230</v>
      </c>
      <c r="F16" s="133">
        <f t="shared" si="2"/>
        <v>2448</v>
      </c>
      <c r="G16" s="133">
        <v>2218</v>
      </c>
      <c r="H16" s="133">
        <v>230</v>
      </c>
      <c r="I16" s="133"/>
      <c r="J16" s="133">
        <v>1</v>
      </c>
      <c r="K16" s="133">
        <v>2447</v>
      </c>
      <c r="L16" s="133">
        <f t="shared" si="3"/>
        <v>46</v>
      </c>
      <c r="M16" s="133">
        <v>46</v>
      </c>
      <c r="N16" s="133"/>
      <c r="O16" s="133"/>
      <c r="P16" s="257">
        <v>0</v>
      </c>
      <c r="Q16" s="133">
        <v>46</v>
      </c>
    </row>
    <row r="17" spans="1:17" ht="15.75">
      <c r="A17" s="79">
        <v>7</v>
      </c>
      <c r="B17" s="80" t="s">
        <v>172</v>
      </c>
      <c r="C17" s="133">
        <f t="shared" si="1"/>
        <v>677</v>
      </c>
      <c r="D17" s="133">
        <v>677</v>
      </c>
      <c r="E17" s="257">
        <v>0</v>
      </c>
      <c r="F17" s="133">
        <f t="shared" si="2"/>
        <v>2336</v>
      </c>
      <c r="G17" s="133">
        <v>2328</v>
      </c>
      <c r="H17" s="133">
        <v>8</v>
      </c>
      <c r="I17" s="257">
        <v>0</v>
      </c>
      <c r="J17" s="133">
        <v>1</v>
      </c>
      <c r="K17" s="133">
        <v>2335</v>
      </c>
      <c r="L17" s="133">
        <f t="shared" si="3"/>
        <v>834</v>
      </c>
      <c r="M17" s="133">
        <v>833</v>
      </c>
      <c r="N17" s="133">
        <v>1</v>
      </c>
      <c r="O17" s="257">
        <v>0</v>
      </c>
      <c r="P17" s="133">
        <v>1</v>
      </c>
      <c r="Q17" s="133">
        <v>833</v>
      </c>
    </row>
    <row r="18" spans="1:17" ht="15.75">
      <c r="A18" s="79">
        <v>8</v>
      </c>
      <c r="B18" s="80" t="s">
        <v>173</v>
      </c>
      <c r="C18" s="133">
        <f t="shared" si="1"/>
        <v>1700</v>
      </c>
      <c r="D18" s="133">
        <v>1700</v>
      </c>
      <c r="E18" s="257">
        <v>0</v>
      </c>
      <c r="F18" s="133">
        <f t="shared" si="2"/>
        <v>1529</v>
      </c>
      <c r="G18" s="133">
        <v>1524</v>
      </c>
      <c r="H18" s="133">
        <v>5</v>
      </c>
      <c r="I18" s="257">
        <v>0</v>
      </c>
      <c r="J18" s="257">
        <v>0</v>
      </c>
      <c r="K18" s="133">
        <v>1529</v>
      </c>
      <c r="L18" s="133">
        <f t="shared" si="3"/>
        <v>323</v>
      </c>
      <c r="M18" s="133">
        <v>323</v>
      </c>
      <c r="N18" s="257">
        <v>0</v>
      </c>
      <c r="O18" s="257">
        <v>0</v>
      </c>
      <c r="P18" s="133">
        <v>2</v>
      </c>
      <c r="Q18" s="133">
        <v>323</v>
      </c>
    </row>
    <row r="19" spans="1:17" ht="15.75">
      <c r="A19" s="79">
        <v>9</v>
      </c>
      <c r="B19" s="80" t="s">
        <v>174</v>
      </c>
      <c r="C19" s="133">
        <f t="shared" si="1"/>
        <v>1078</v>
      </c>
      <c r="D19" s="133">
        <v>1078</v>
      </c>
      <c r="E19" s="257">
        <v>0</v>
      </c>
      <c r="F19" s="133">
        <f t="shared" si="2"/>
        <v>1722</v>
      </c>
      <c r="G19" s="133">
        <v>947</v>
      </c>
      <c r="H19" s="133">
        <v>775</v>
      </c>
      <c r="I19" s="257">
        <v>0</v>
      </c>
      <c r="J19" s="133">
        <v>1</v>
      </c>
      <c r="K19" s="133">
        <v>1721</v>
      </c>
      <c r="L19" s="133">
        <f t="shared" si="3"/>
        <v>557</v>
      </c>
      <c r="M19" s="133">
        <v>553</v>
      </c>
      <c r="N19" s="133">
        <v>4</v>
      </c>
      <c r="O19" s="257">
        <v>0</v>
      </c>
      <c r="P19" s="133">
        <v>5</v>
      </c>
      <c r="Q19" s="133">
        <v>552</v>
      </c>
    </row>
    <row r="20" spans="1:17" ht="15.75">
      <c r="A20" s="79">
        <v>10</v>
      </c>
      <c r="B20" s="80" t="s">
        <v>175</v>
      </c>
      <c r="C20" s="133">
        <f t="shared" si="1"/>
        <v>186</v>
      </c>
      <c r="D20" s="133">
        <v>186</v>
      </c>
      <c r="E20" s="257">
        <v>0</v>
      </c>
      <c r="F20" s="133">
        <f t="shared" si="2"/>
        <v>766</v>
      </c>
      <c r="G20" s="133">
        <v>759</v>
      </c>
      <c r="H20" s="133">
        <v>7</v>
      </c>
      <c r="I20" s="257">
        <v>0</v>
      </c>
      <c r="J20" s="257">
        <v>0</v>
      </c>
      <c r="K20" s="133">
        <v>766</v>
      </c>
      <c r="L20" s="133">
        <f t="shared" si="3"/>
        <v>186</v>
      </c>
      <c r="M20" s="133">
        <v>185</v>
      </c>
      <c r="N20" s="133">
        <v>1</v>
      </c>
      <c r="O20" s="257">
        <v>0</v>
      </c>
      <c r="P20" s="133">
        <v>1</v>
      </c>
      <c r="Q20" s="133">
        <v>185</v>
      </c>
    </row>
    <row r="21" spans="1:17" ht="15.75">
      <c r="A21" s="79">
        <v>11</v>
      </c>
      <c r="B21" s="80" t="s">
        <v>176</v>
      </c>
      <c r="C21" s="133">
        <f t="shared" si="1"/>
        <v>692</v>
      </c>
      <c r="D21" s="133">
        <v>692</v>
      </c>
      <c r="E21" s="257">
        <v>0</v>
      </c>
      <c r="F21" s="133">
        <f t="shared" si="2"/>
        <v>1819</v>
      </c>
      <c r="G21" s="133">
        <v>1753</v>
      </c>
      <c r="H21" s="133">
        <v>66</v>
      </c>
      <c r="I21" s="257">
        <v>0</v>
      </c>
      <c r="J21" s="257">
        <v>0</v>
      </c>
      <c r="K21" s="133">
        <v>1819</v>
      </c>
      <c r="L21" s="133">
        <f t="shared" si="3"/>
        <v>922</v>
      </c>
      <c r="M21" s="133">
        <v>922</v>
      </c>
      <c r="N21" s="257">
        <v>0</v>
      </c>
      <c r="O21" s="257">
        <v>0</v>
      </c>
      <c r="P21" s="133">
        <v>1</v>
      </c>
      <c r="Q21" s="133">
        <v>921</v>
      </c>
    </row>
    <row r="22" spans="1:17" ht="15.75">
      <c r="A22" s="79">
        <v>12</v>
      </c>
      <c r="B22" s="80" t="s">
        <v>177</v>
      </c>
      <c r="C22" s="133">
        <f t="shared" si="1"/>
        <v>2554</v>
      </c>
      <c r="D22" s="133">
        <v>2554</v>
      </c>
      <c r="E22" s="257">
        <v>0</v>
      </c>
      <c r="F22" s="133">
        <f t="shared" si="2"/>
        <v>1797</v>
      </c>
      <c r="G22" s="133">
        <v>1790</v>
      </c>
      <c r="H22" s="133">
        <v>2</v>
      </c>
      <c r="I22" s="133">
        <v>5</v>
      </c>
      <c r="J22" s="133">
        <v>1</v>
      </c>
      <c r="K22" s="133">
        <v>1796</v>
      </c>
      <c r="L22" s="133">
        <f t="shared" si="3"/>
        <v>531</v>
      </c>
      <c r="M22" s="133">
        <v>531</v>
      </c>
      <c r="N22" s="257">
        <v>0</v>
      </c>
      <c r="O22" s="257">
        <v>0</v>
      </c>
      <c r="P22" s="257">
        <v>0</v>
      </c>
      <c r="Q22" s="133">
        <v>531</v>
      </c>
    </row>
    <row r="23" spans="1:17" ht="15.75">
      <c r="A23" s="79">
        <v>13</v>
      </c>
      <c r="B23" s="80" t="s">
        <v>178</v>
      </c>
      <c r="C23" s="133">
        <f t="shared" si="1"/>
        <v>7384</v>
      </c>
      <c r="D23" s="133">
        <v>7354</v>
      </c>
      <c r="E23" s="133">
        <v>30</v>
      </c>
      <c r="F23" s="133">
        <f t="shared" si="2"/>
        <v>7384</v>
      </c>
      <c r="G23" s="133">
        <v>7359</v>
      </c>
      <c r="H23" s="133">
        <v>25</v>
      </c>
      <c r="I23" s="257">
        <v>0</v>
      </c>
      <c r="J23" s="133">
        <v>8</v>
      </c>
      <c r="K23" s="133">
        <v>7376</v>
      </c>
      <c r="L23" s="133">
        <f t="shared" si="3"/>
        <v>960</v>
      </c>
      <c r="M23" s="133">
        <v>955</v>
      </c>
      <c r="N23" s="133">
        <v>5</v>
      </c>
      <c r="O23" s="257">
        <v>0</v>
      </c>
      <c r="P23" s="133">
        <v>4</v>
      </c>
      <c r="Q23" s="133">
        <v>956</v>
      </c>
    </row>
    <row r="24" spans="1:17" ht="15.75">
      <c r="A24" s="79">
        <v>14</v>
      </c>
      <c r="B24" s="80" t="s">
        <v>179</v>
      </c>
      <c r="C24" s="133">
        <f t="shared" si="1"/>
        <v>1279</v>
      </c>
      <c r="D24" s="133">
        <v>1239</v>
      </c>
      <c r="E24" s="133">
        <v>40</v>
      </c>
      <c r="F24" s="133">
        <f t="shared" si="2"/>
        <v>1303</v>
      </c>
      <c r="G24" s="133">
        <v>1263</v>
      </c>
      <c r="H24" s="133">
        <v>40</v>
      </c>
      <c r="I24" s="257">
        <v>0</v>
      </c>
      <c r="J24" s="257">
        <v>0</v>
      </c>
      <c r="K24" s="133">
        <v>1303</v>
      </c>
      <c r="L24" s="133">
        <f t="shared" si="3"/>
        <v>3</v>
      </c>
      <c r="M24" s="133">
        <v>3</v>
      </c>
      <c r="N24" s="257">
        <v>0</v>
      </c>
      <c r="O24" s="257">
        <v>0</v>
      </c>
      <c r="P24" s="257">
        <v>0</v>
      </c>
      <c r="Q24" s="133">
        <v>3</v>
      </c>
    </row>
    <row r="25" spans="1:17" ht="15.75">
      <c r="A25" s="79">
        <v>15</v>
      </c>
      <c r="B25" s="80" t="s">
        <v>180</v>
      </c>
      <c r="C25" s="133">
        <f t="shared" si="1"/>
        <v>2383</v>
      </c>
      <c r="D25" s="133">
        <v>2383</v>
      </c>
      <c r="E25" s="257">
        <v>0</v>
      </c>
      <c r="F25" s="133">
        <f t="shared" si="2"/>
        <v>3513</v>
      </c>
      <c r="G25" s="133">
        <v>3396</v>
      </c>
      <c r="H25" s="133">
        <v>117</v>
      </c>
      <c r="I25" s="257">
        <v>0</v>
      </c>
      <c r="J25" s="133">
        <v>8</v>
      </c>
      <c r="K25" s="133">
        <v>3505</v>
      </c>
      <c r="L25" s="133">
        <f t="shared" si="3"/>
        <v>1457</v>
      </c>
      <c r="M25" s="133">
        <v>1452</v>
      </c>
      <c r="N25" s="133">
        <v>5</v>
      </c>
      <c r="O25" s="257">
        <v>0</v>
      </c>
      <c r="P25" s="133">
        <v>31</v>
      </c>
      <c r="Q25" s="133">
        <v>1426</v>
      </c>
    </row>
    <row r="26" spans="1:17" ht="15.75">
      <c r="A26" s="79">
        <v>16</v>
      </c>
      <c r="B26" s="80" t="s">
        <v>181</v>
      </c>
      <c r="C26" s="133">
        <f t="shared" si="1"/>
        <v>2821</v>
      </c>
      <c r="D26" s="133">
        <v>2821</v>
      </c>
      <c r="E26" s="257">
        <v>0</v>
      </c>
      <c r="F26" s="133">
        <f t="shared" si="2"/>
        <v>4302</v>
      </c>
      <c r="G26" s="133">
        <v>4301</v>
      </c>
      <c r="H26" s="133">
        <v>1</v>
      </c>
      <c r="I26" s="257">
        <v>0</v>
      </c>
      <c r="J26" s="133">
        <v>5</v>
      </c>
      <c r="K26" s="133">
        <v>4297</v>
      </c>
      <c r="L26" s="133">
        <f t="shared" si="3"/>
        <v>453</v>
      </c>
      <c r="M26" s="133">
        <v>453</v>
      </c>
      <c r="N26" s="257">
        <v>0</v>
      </c>
      <c r="O26" s="257">
        <v>0</v>
      </c>
      <c r="P26" s="133">
        <v>6</v>
      </c>
      <c r="Q26" s="133">
        <v>447</v>
      </c>
    </row>
    <row r="27" spans="1:17" ht="15.75">
      <c r="A27" s="79">
        <v>17</v>
      </c>
      <c r="B27" s="80" t="s">
        <v>182</v>
      </c>
      <c r="C27" s="133">
        <f aca="true" t="shared" si="4" ref="C27:C73">D27+E27</f>
        <v>1205</v>
      </c>
      <c r="D27" s="133">
        <v>1205</v>
      </c>
      <c r="E27" s="257">
        <v>0</v>
      </c>
      <c r="F27" s="133">
        <f t="shared" si="2"/>
        <v>944</v>
      </c>
      <c r="G27" s="133">
        <v>825</v>
      </c>
      <c r="H27" s="133">
        <v>119</v>
      </c>
      <c r="I27" s="257">
        <v>0</v>
      </c>
      <c r="J27" s="257">
        <v>0</v>
      </c>
      <c r="K27" s="133">
        <v>944</v>
      </c>
      <c r="L27" s="133">
        <f t="shared" si="3"/>
        <v>93</v>
      </c>
      <c r="M27" s="133">
        <v>93</v>
      </c>
      <c r="N27" s="257">
        <v>0</v>
      </c>
      <c r="O27" s="257">
        <v>0</v>
      </c>
      <c r="P27" s="133">
        <v>1</v>
      </c>
      <c r="Q27" s="133">
        <v>92</v>
      </c>
    </row>
    <row r="28" spans="1:17" ht="15.75">
      <c r="A28" s="79">
        <v>18</v>
      </c>
      <c r="B28" s="80" t="s">
        <v>183</v>
      </c>
      <c r="C28" s="133">
        <f t="shared" si="4"/>
        <v>395</v>
      </c>
      <c r="D28" s="133">
        <v>380</v>
      </c>
      <c r="E28" s="133">
        <v>15</v>
      </c>
      <c r="F28" s="133">
        <f t="shared" si="2"/>
        <v>375</v>
      </c>
      <c r="G28" s="133">
        <v>360</v>
      </c>
      <c r="H28" s="133">
        <v>15</v>
      </c>
      <c r="I28" s="257">
        <v>0</v>
      </c>
      <c r="J28" s="133">
        <v>1</v>
      </c>
      <c r="K28" s="133">
        <v>359</v>
      </c>
      <c r="L28" s="133">
        <f t="shared" si="3"/>
        <v>5</v>
      </c>
      <c r="M28" s="133">
        <v>5</v>
      </c>
      <c r="N28" s="257">
        <v>0</v>
      </c>
      <c r="O28" s="257">
        <v>0</v>
      </c>
      <c r="P28" s="257">
        <v>0</v>
      </c>
      <c r="Q28" s="133">
        <v>5</v>
      </c>
    </row>
    <row r="29" spans="1:17" ht="15.75">
      <c r="A29" s="79">
        <v>19</v>
      </c>
      <c r="B29" s="81" t="s">
        <v>201</v>
      </c>
      <c r="C29" s="133">
        <f t="shared" si="4"/>
        <v>685</v>
      </c>
      <c r="D29" s="133">
        <v>685</v>
      </c>
      <c r="E29" s="257">
        <v>0</v>
      </c>
      <c r="F29" s="133">
        <f t="shared" si="2"/>
        <v>5392</v>
      </c>
      <c r="G29" s="133">
        <v>4794</v>
      </c>
      <c r="H29" s="133">
        <v>598</v>
      </c>
      <c r="I29" s="164"/>
      <c r="J29" s="133">
        <v>45</v>
      </c>
      <c r="K29" s="133">
        <v>5347</v>
      </c>
      <c r="L29" s="133">
        <f t="shared" si="3"/>
        <v>4503</v>
      </c>
      <c r="M29" s="133">
        <v>4498</v>
      </c>
      <c r="N29" s="133">
        <v>5</v>
      </c>
      <c r="O29" s="133"/>
      <c r="P29" s="133">
        <v>31</v>
      </c>
      <c r="Q29" s="133">
        <v>4472</v>
      </c>
    </row>
    <row r="30" spans="1:17" ht="15.75">
      <c r="A30" s="79">
        <v>20</v>
      </c>
      <c r="B30" s="81" t="s">
        <v>202</v>
      </c>
      <c r="C30" s="133">
        <f t="shared" si="4"/>
        <v>1624</v>
      </c>
      <c r="D30" s="133">
        <v>1624</v>
      </c>
      <c r="E30" s="257">
        <v>0</v>
      </c>
      <c r="F30" s="133">
        <f t="shared" si="2"/>
        <v>1115</v>
      </c>
      <c r="G30" s="133">
        <v>1109</v>
      </c>
      <c r="H30" s="133">
        <v>6</v>
      </c>
      <c r="I30" s="257">
        <v>0</v>
      </c>
      <c r="J30" s="133">
        <v>1</v>
      </c>
      <c r="K30" s="133">
        <v>1114</v>
      </c>
      <c r="L30" s="133">
        <f t="shared" si="3"/>
        <v>768</v>
      </c>
      <c r="M30" s="133">
        <v>765</v>
      </c>
      <c r="N30" s="133">
        <v>3</v>
      </c>
      <c r="O30" s="257">
        <v>0</v>
      </c>
      <c r="P30" s="133">
        <v>2</v>
      </c>
      <c r="Q30" s="133">
        <v>766</v>
      </c>
    </row>
    <row r="31" spans="1:17" ht="15.75">
      <c r="A31" s="79">
        <v>21</v>
      </c>
      <c r="B31" s="81" t="s">
        <v>203</v>
      </c>
      <c r="C31" s="133">
        <f t="shared" si="4"/>
        <v>1189</v>
      </c>
      <c r="D31" s="133">
        <v>1189</v>
      </c>
      <c r="E31" s="257">
        <v>0</v>
      </c>
      <c r="F31" s="133">
        <f t="shared" si="2"/>
        <v>745</v>
      </c>
      <c r="G31" s="133">
        <v>742</v>
      </c>
      <c r="H31" s="133">
        <v>3</v>
      </c>
      <c r="I31" s="257">
        <v>0</v>
      </c>
      <c r="J31" s="257">
        <v>0</v>
      </c>
      <c r="K31" s="133">
        <v>745</v>
      </c>
      <c r="L31" s="133">
        <f t="shared" si="3"/>
        <v>430</v>
      </c>
      <c r="M31" s="133">
        <v>430</v>
      </c>
      <c r="N31" s="257">
        <v>0</v>
      </c>
      <c r="O31" s="257">
        <v>0</v>
      </c>
      <c r="P31" s="257">
        <v>0</v>
      </c>
      <c r="Q31" s="133">
        <v>430</v>
      </c>
    </row>
    <row r="32" spans="1:17" ht="15.75">
      <c r="A32" s="79">
        <v>22</v>
      </c>
      <c r="B32" s="81" t="s">
        <v>204</v>
      </c>
      <c r="C32" s="133">
        <f t="shared" si="4"/>
        <v>273</v>
      </c>
      <c r="D32" s="133">
        <v>273</v>
      </c>
      <c r="E32" s="257">
        <v>0</v>
      </c>
      <c r="F32" s="133">
        <f t="shared" si="2"/>
        <v>273</v>
      </c>
      <c r="G32" s="133">
        <v>273</v>
      </c>
      <c r="H32" s="257">
        <v>0</v>
      </c>
      <c r="I32" s="257">
        <v>0</v>
      </c>
      <c r="J32" s="133">
        <v>2</v>
      </c>
      <c r="K32" s="133">
        <v>271</v>
      </c>
      <c r="L32" s="133">
        <f t="shared" si="3"/>
        <v>273</v>
      </c>
      <c r="M32" s="133">
        <v>273</v>
      </c>
      <c r="N32" s="257">
        <v>0</v>
      </c>
      <c r="O32" s="257">
        <v>0</v>
      </c>
      <c r="P32" s="133">
        <v>2</v>
      </c>
      <c r="Q32" s="133">
        <v>271</v>
      </c>
    </row>
    <row r="33" spans="1:17" ht="15.75">
      <c r="A33" s="79">
        <v>23</v>
      </c>
      <c r="B33" s="81" t="s">
        <v>205</v>
      </c>
      <c r="C33" s="133">
        <f t="shared" si="4"/>
        <v>2664</v>
      </c>
      <c r="D33" s="133">
        <v>2664</v>
      </c>
      <c r="E33" s="257">
        <v>0</v>
      </c>
      <c r="F33" s="133">
        <f t="shared" si="2"/>
        <v>1703</v>
      </c>
      <c r="G33" s="133">
        <v>1690</v>
      </c>
      <c r="H33" s="133">
        <v>13</v>
      </c>
      <c r="I33" s="257">
        <v>0</v>
      </c>
      <c r="J33" s="257">
        <v>0</v>
      </c>
      <c r="K33" s="133">
        <v>1703</v>
      </c>
      <c r="L33" s="133">
        <f t="shared" si="3"/>
        <v>23</v>
      </c>
      <c r="M33" s="133">
        <v>23</v>
      </c>
      <c r="N33" s="257">
        <v>0</v>
      </c>
      <c r="O33" s="257">
        <v>0</v>
      </c>
      <c r="P33" s="257">
        <v>0</v>
      </c>
      <c r="Q33" s="133">
        <v>23</v>
      </c>
    </row>
    <row r="34" spans="1:17" ht="15.75">
      <c r="A34" s="79">
        <v>24</v>
      </c>
      <c r="B34" s="81" t="s">
        <v>206</v>
      </c>
      <c r="C34" s="133">
        <f t="shared" si="4"/>
        <v>3248</v>
      </c>
      <c r="D34" s="133">
        <v>3247</v>
      </c>
      <c r="E34" s="133">
        <v>1</v>
      </c>
      <c r="F34" s="133">
        <f t="shared" si="2"/>
        <v>28073</v>
      </c>
      <c r="G34" s="133">
        <v>27309</v>
      </c>
      <c r="H34" s="133">
        <v>764</v>
      </c>
      <c r="I34" s="257">
        <v>0</v>
      </c>
      <c r="J34" s="133">
        <v>153</v>
      </c>
      <c r="K34" s="133">
        <v>27920</v>
      </c>
      <c r="L34" s="133">
        <f t="shared" si="3"/>
        <v>1807</v>
      </c>
      <c r="M34" s="133">
        <v>1745</v>
      </c>
      <c r="N34" s="133">
        <v>62</v>
      </c>
      <c r="O34" s="257">
        <v>0</v>
      </c>
      <c r="P34" s="133">
        <v>9</v>
      </c>
      <c r="Q34" s="133">
        <v>1798</v>
      </c>
    </row>
    <row r="35" spans="1:17" ht="15.75">
      <c r="A35" s="79">
        <v>25</v>
      </c>
      <c r="B35" s="81" t="s">
        <v>207</v>
      </c>
      <c r="C35" s="133">
        <f t="shared" si="4"/>
        <v>1365</v>
      </c>
      <c r="D35" s="133">
        <v>1365</v>
      </c>
      <c r="E35" s="257">
        <v>0</v>
      </c>
      <c r="F35" s="133">
        <f aca="true" t="shared" si="5" ref="F35:F67">G35+H35+I35</f>
        <v>7231</v>
      </c>
      <c r="G35" s="133">
        <v>7130</v>
      </c>
      <c r="H35" s="133">
        <v>101</v>
      </c>
      <c r="I35" s="257">
        <v>0</v>
      </c>
      <c r="J35" s="257">
        <v>0</v>
      </c>
      <c r="K35" s="133">
        <v>7231</v>
      </c>
      <c r="L35" s="133">
        <f t="shared" si="3"/>
        <v>29</v>
      </c>
      <c r="M35" s="133">
        <v>29</v>
      </c>
      <c r="N35" s="257">
        <v>0</v>
      </c>
      <c r="O35" s="257">
        <v>0</v>
      </c>
      <c r="P35" s="257">
        <v>0</v>
      </c>
      <c r="Q35" s="133">
        <v>29</v>
      </c>
    </row>
    <row r="36" spans="1:17" ht="15.75">
      <c r="A36" s="79">
        <v>26</v>
      </c>
      <c r="B36" s="81" t="s">
        <v>208</v>
      </c>
      <c r="C36" s="133">
        <f t="shared" si="4"/>
        <v>1600</v>
      </c>
      <c r="D36" s="133">
        <v>1600</v>
      </c>
      <c r="E36" s="257">
        <v>0</v>
      </c>
      <c r="F36" s="133">
        <f t="shared" si="5"/>
        <v>5669</v>
      </c>
      <c r="G36" s="133">
        <v>5234</v>
      </c>
      <c r="H36" s="133">
        <v>435</v>
      </c>
      <c r="I36" s="257">
        <v>0</v>
      </c>
      <c r="J36" s="133">
        <v>22</v>
      </c>
      <c r="K36" s="133">
        <v>5647</v>
      </c>
      <c r="L36" s="133">
        <f t="shared" si="3"/>
        <v>101</v>
      </c>
      <c r="M36" s="133">
        <v>101</v>
      </c>
      <c r="N36" s="257">
        <v>0</v>
      </c>
      <c r="O36" s="257">
        <v>0</v>
      </c>
      <c r="P36" s="133">
        <v>2</v>
      </c>
      <c r="Q36" s="133">
        <v>99</v>
      </c>
    </row>
    <row r="37" spans="1:17" ht="15.75">
      <c r="A37" s="79">
        <v>27</v>
      </c>
      <c r="B37" s="81" t="s">
        <v>209</v>
      </c>
      <c r="C37" s="133">
        <f t="shared" si="4"/>
        <v>3825</v>
      </c>
      <c r="D37" s="133">
        <v>3824</v>
      </c>
      <c r="E37" s="133">
        <v>1</v>
      </c>
      <c r="F37" s="133">
        <f t="shared" si="5"/>
        <v>7775</v>
      </c>
      <c r="G37" s="133">
        <v>7619</v>
      </c>
      <c r="H37" s="133">
        <v>156</v>
      </c>
      <c r="I37" s="257">
        <v>0</v>
      </c>
      <c r="J37" s="133">
        <v>1</v>
      </c>
      <c r="K37" s="133">
        <v>7774</v>
      </c>
      <c r="L37" s="133">
        <f t="shared" si="3"/>
        <v>671</v>
      </c>
      <c r="M37" s="133">
        <v>671</v>
      </c>
      <c r="N37" s="257">
        <v>0</v>
      </c>
      <c r="O37" s="257">
        <v>0</v>
      </c>
      <c r="P37" s="133">
        <v>10</v>
      </c>
      <c r="Q37" s="133">
        <v>661</v>
      </c>
    </row>
    <row r="38" spans="1:17" ht="15.75">
      <c r="A38" s="79">
        <v>28</v>
      </c>
      <c r="B38" s="81" t="s">
        <v>210</v>
      </c>
      <c r="C38" s="133">
        <f t="shared" si="4"/>
        <v>301</v>
      </c>
      <c r="D38" s="133">
        <v>301</v>
      </c>
      <c r="E38" s="257">
        <v>0</v>
      </c>
      <c r="F38" s="133">
        <f t="shared" si="5"/>
        <v>2865</v>
      </c>
      <c r="G38" s="133">
        <v>2861</v>
      </c>
      <c r="H38" s="133">
        <v>4</v>
      </c>
      <c r="I38" s="257">
        <v>0</v>
      </c>
      <c r="J38" s="133">
        <v>2</v>
      </c>
      <c r="K38" s="133">
        <v>2863</v>
      </c>
      <c r="L38" s="133">
        <f t="shared" si="3"/>
        <v>302</v>
      </c>
      <c r="M38" s="133">
        <v>302</v>
      </c>
      <c r="N38" s="257">
        <v>0</v>
      </c>
      <c r="O38" s="257">
        <v>0</v>
      </c>
      <c r="P38" s="133">
        <v>1</v>
      </c>
      <c r="Q38" s="133">
        <v>301</v>
      </c>
    </row>
    <row r="39" spans="1:17" ht="15.75">
      <c r="A39" s="79">
        <v>29</v>
      </c>
      <c r="B39" s="81" t="s">
        <v>211</v>
      </c>
      <c r="C39" s="133">
        <f t="shared" si="4"/>
        <v>415</v>
      </c>
      <c r="D39" s="133">
        <v>415</v>
      </c>
      <c r="E39" s="257">
        <v>0</v>
      </c>
      <c r="F39" s="133">
        <f t="shared" si="5"/>
        <v>1787</v>
      </c>
      <c r="G39" s="133">
        <v>1779</v>
      </c>
      <c r="H39" s="133">
        <v>8</v>
      </c>
      <c r="I39" s="257">
        <v>0</v>
      </c>
      <c r="J39" s="133">
        <v>5</v>
      </c>
      <c r="K39" s="133">
        <v>1782</v>
      </c>
      <c r="L39" s="133">
        <f t="shared" si="3"/>
        <v>71</v>
      </c>
      <c r="M39" s="133">
        <v>71</v>
      </c>
      <c r="N39" s="257">
        <v>0</v>
      </c>
      <c r="O39" s="257">
        <v>0</v>
      </c>
      <c r="P39" s="257">
        <v>0</v>
      </c>
      <c r="Q39" s="133">
        <v>71</v>
      </c>
    </row>
    <row r="40" spans="1:17" ht="15.75">
      <c r="A40" s="79">
        <v>30</v>
      </c>
      <c r="B40" s="81" t="s">
        <v>212</v>
      </c>
      <c r="C40" s="257">
        <v>0</v>
      </c>
      <c r="D40" s="133"/>
      <c r="E40" s="133"/>
      <c r="F40" s="133">
        <f t="shared" si="5"/>
        <v>4565</v>
      </c>
      <c r="G40" s="122">
        <v>4527</v>
      </c>
      <c r="H40" s="122">
        <v>38</v>
      </c>
      <c r="I40" s="257">
        <v>0</v>
      </c>
      <c r="J40" s="122">
        <v>2</v>
      </c>
      <c r="K40" s="133">
        <v>4563</v>
      </c>
      <c r="L40" s="133">
        <f t="shared" si="3"/>
        <v>35</v>
      </c>
      <c r="M40" s="133">
        <v>35</v>
      </c>
      <c r="N40" s="257">
        <v>0</v>
      </c>
      <c r="O40" s="257">
        <v>0</v>
      </c>
      <c r="P40" s="257">
        <v>0</v>
      </c>
      <c r="Q40" s="133">
        <v>35</v>
      </c>
    </row>
    <row r="41" spans="1:17" ht="15.75">
      <c r="A41" s="79">
        <v>31</v>
      </c>
      <c r="B41" s="81" t="s">
        <v>213</v>
      </c>
      <c r="C41" s="133">
        <f t="shared" si="4"/>
        <v>2057</v>
      </c>
      <c r="D41" s="133">
        <v>2057</v>
      </c>
      <c r="E41" s="257">
        <v>0</v>
      </c>
      <c r="F41" s="133">
        <f t="shared" si="5"/>
        <v>3784</v>
      </c>
      <c r="G41" s="133">
        <v>3420</v>
      </c>
      <c r="H41" s="133">
        <v>364</v>
      </c>
      <c r="I41" s="257">
        <v>0</v>
      </c>
      <c r="J41" s="133">
        <v>8</v>
      </c>
      <c r="K41" s="133">
        <v>3776</v>
      </c>
      <c r="L41" s="133">
        <f t="shared" si="3"/>
        <v>4168</v>
      </c>
      <c r="M41" s="133">
        <v>4168</v>
      </c>
      <c r="N41" s="257">
        <v>0</v>
      </c>
      <c r="O41" s="257">
        <v>0</v>
      </c>
      <c r="P41" s="133">
        <v>22</v>
      </c>
      <c r="Q41" s="133">
        <v>4074</v>
      </c>
    </row>
    <row r="42" spans="1:17" ht="15.75">
      <c r="A42" s="79">
        <v>32</v>
      </c>
      <c r="B42" s="81" t="s">
        <v>214</v>
      </c>
      <c r="C42" s="133">
        <f t="shared" si="4"/>
        <v>1366</v>
      </c>
      <c r="D42" s="133">
        <v>1365</v>
      </c>
      <c r="E42" s="133">
        <v>1</v>
      </c>
      <c r="F42" s="133">
        <f t="shared" si="5"/>
        <v>2933</v>
      </c>
      <c r="G42" s="133">
        <v>2913</v>
      </c>
      <c r="H42" s="133">
        <v>20</v>
      </c>
      <c r="I42" s="257">
        <v>0</v>
      </c>
      <c r="J42" s="257">
        <v>0</v>
      </c>
      <c r="K42" s="133">
        <v>2933</v>
      </c>
      <c r="L42" s="133">
        <f t="shared" si="3"/>
        <v>1157</v>
      </c>
      <c r="M42" s="133">
        <v>1157</v>
      </c>
      <c r="N42" s="257">
        <v>0</v>
      </c>
      <c r="O42" s="257">
        <v>0</v>
      </c>
      <c r="P42" s="133">
        <v>9</v>
      </c>
      <c r="Q42" s="133">
        <v>1148</v>
      </c>
    </row>
    <row r="43" spans="1:17" ht="15.75">
      <c r="A43" s="79">
        <v>33</v>
      </c>
      <c r="B43" s="81" t="s">
        <v>215</v>
      </c>
      <c r="C43" s="133">
        <f t="shared" si="4"/>
        <v>501</v>
      </c>
      <c r="D43" s="133">
        <v>501</v>
      </c>
      <c r="E43" s="257">
        <v>0</v>
      </c>
      <c r="F43" s="133">
        <f t="shared" si="5"/>
        <v>621</v>
      </c>
      <c r="G43" s="133">
        <v>621</v>
      </c>
      <c r="H43" s="257">
        <v>0</v>
      </c>
      <c r="I43" s="257">
        <v>0</v>
      </c>
      <c r="J43" s="257">
        <v>0</v>
      </c>
      <c r="K43" s="133">
        <v>621</v>
      </c>
      <c r="L43" s="133">
        <f t="shared" si="3"/>
        <v>47</v>
      </c>
      <c r="M43" s="133">
        <v>47</v>
      </c>
      <c r="N43" s="257">
        <v>0</v>
      </c>
      <c r="O43" s="257">
        <v>0</v>
      </c>
      <c r="P43" s="257">
        <v>0</v>
      </c>
      <c r="Q43" s="133">
        <v>47</v>
      </c>
    </row>
    <row r="44" spans="1:17" ht="15.75">
      <c r="A44" s="79">
        <v>34</v>
      </c>
      <c r="B44" s="81" t="s">
        <v>216</v>
      </c>
      <c r="C44" s="133">
        <f t="shared" si="4"/>
        <v>168</v>
      </c>
      <c r="D44" s="133">
        <v>168</v>
      </c>
      <c r="E44" s="257">
        <v>0</v>
      </c>
      <c r="F44" s="133">
        <f t="shared" si="5"/>
        <v>974</v>
      </c>
      <c r="G44" s="133">
        <v>974</v>
      </c>
      <c r="H44" s="257">
        <v>0</v>
      </c>
      <c r="I44" s="257">
        <v>0</v>
      </c>
      <c r="J44" s="257">
        <v>0</v>
      </c>
      <c r="K44" s="257">
        <v>0</v>
      </c>
      <c r="L44" s="133">
        <f t="shared" si="3"/>
        <v>1</v>
      </c>
      <c r="M44" s="133">
        <v>1</v>
      </c>
      <c r="N44" s="257">
        <v>0</v>
      </c>
      <c r="O44" s="257">
        <v>0</v>
      </c>
      <c r="P44" s="257">
        <v>0</v>
      </c>
      <c r="Q44" s="257">
        <v>0</v>
      </c>
    </row>
    <row r="45" spans="1:17" ht="15.75">
      <c r="A45" s="79">
        <v>35</v>
      </c>
      <c r="B45" s="81" t="s">
        <v>217</v>
      </c>
      <c r="C45" s="133">
        <f t="shared" si="4"/>
        <v>756</v>
      </c>
      <c r="D45" s="133">
        <v>756</v>
      </c>
      <c r="E45" s="257">
        <v>0</v>
      </c>
      <c r="F45" s="133">
        <f t="shared" si="5"/>
        <v>2804</v>
      </c>
      <c r="G45" s="133">
        <v>2783</v>
      </c>
      <c r="H45" s="133">
        <v>21</v>
      </c>
      <c r="I45" s="257">
        <v>0</v>
      </c>
      <c r="J45" s="133">
        <v>2</v>
      </c>
      <c r="K45" s="133">
        <v>2802</v>
      </c>
      <c r="L45" s="133">
        <f t="shared" si="3"/>
        <v>1077</v>
      </c>
      <c r="M45" s="133">
        <v>1077</v>
      </c>
      <c r="N45" s="257">
        <v>0</v>
      </c>
      <c r="O45" s="257">
        <v>0</v>
      </c>
      <c r="P45" s="133">
        <v>4</v>
      </c>
      <c r="Q45" s="133">
        <v>1073</v>
      </c>
    </row>
    <row r="46" spans="1:17" ht="15.75">
      <c r="A46" s="79">
        <v>36</v>
      </c>
      <c r="B46" s="82" t="s">
        <v>218</v>
      </c>
      <c r="C46" s="133">
        <f t="shared" si="4"/>
        <v>212</v>
      </c>
      <c r="D46" s="133">
        <v>212</v>
      </c>
      <c r="E46" s="257">
        <v>0</v>
      </c>
      <c r="F46" s="133">
        <f t="shared" si="5"/>
        <v>2699</v>
      </c>
      <c r="G46" s="133">
        <v>2670</v>
      </c>
      <c r="H46" s="133">
        <v>29</v>
      </c>
      <c r="I46" s="257">
        <v>0</v>
      </c>
      <c r="J46" s="133">
        <v>2</v>
      </c>
      <c r="K46" s="133">
        <v>2697</v>
      </c>
      <c r="L46" s="133">
        <f t="shared" si="3"/>
        <v>16</v>
      </c>
      <c r="M46" s="133">
        <v>16</v>
      </c>
      <c r="N46" s="257">
        <v>0</v>
      </c>
      <c r="O46" s="257">
        <v>0</v>
      </c>
      <c r="P46" s="133">
        <v>1</v>
      </c>
      <c r="Q46" s="133">
        <v>15</v>
      </c>
    </row>
    <row r="47" spans="1:17" ht="15.75">
      <c r="A47" s="79">
        <v>37</v>
      </c>
      <c r="B47" s="82" t="s">
        <v>219</v>
      </c>
      <c r="C47" s="133">
        <f t="shared" si="4"/>
        <v>523</v>
      </c>
      <c r="D47" s="133">
        <v>370</v>
      </c>
      <c r="E47" s="133">
        <v>153</v>
      </c>
      <c r="F47" s="133">
        <f t="shared" si="5"/>
        <v>712</v>
      </c>
      <c r="G47" s="133">
        <v>642</v>
      </c>
      <c r="H47" s="133">
        <v>70</v>
      </c>
      <c r="I47" s="257">
        <v>0</v>
      </c>
      <c r="J47" s="257">
        <v>0</v>
      </c>
      <c r="K47" s="133">
        <v>712</v>
      </c>
      <c r="L47" s="133">
        <f t="shared" si="3"/>
        <v>9</v>
      </c>
      <c r="M47" s="133">
        <v>9</v>
      </c>
      <c r="N47" s="257">
        <v>0</v>
      </c>
      <c r="O47" s="257">
        <v>0</v>
      </c>
      <c r="P47" s="133">
        <v>9</v>
      </c>
      <c r="Q47" s="257">
        <v>0</v>
      </c>
    </row>
    <row r="48" spans="1:17" ht="15.75">
      <c r="A48" s="79">
        <v>38</v>
      </c>
      <c r="B48" s="82" t="s">
        <v>220</v>
      </c>
      <c r="C48" s="133">
        <f t="shared" si="4"/>
        <v>1526</v>
      </c>
      <c r="D48" s="133">
        <v>1526</v>
      </c>
      <c r="E48" s="257">
        <v>0</v>
      </c>
      <c r="F48" s="133">
        <f t="shared" si="5"/>
        <v>1439</v>
      </c>
      <c r="G48" s="133">
        <v>1349</v>
      </c>
      <c r="H48" s="133">
        <v>90</v>
      </c>
      <c r="I48" s="257">
        <v>0</v>
      </c>
      <c r="J48" s="133">
        <v>5</v>
      </c>
      <c r="K48" s="133">
        <v>1434</v>
      </c>
      <c r="L48" s="133">
        <f t="shared" si="3"/>
        <v>565</v>
      </c>
      <c r="M48" s="133">
        <v>565</v>
      </c>
      <c r="N48" s="257">
        <v>0</v>
      </c>
      <c r="O48" s="257">
        <v>0</v>
      </c>
      <c r="P48" s="133">
        <v>1</v>
      </c>
      <c r="Q48" s="133">
        <v>564</v>
      </c>
    </row>
    <row r="49" spans="1:17" ht="15.75">
      <c r="A49" s="79">
        <v>39</v>
      </c>
      <c r="B49" s="82" t="s">
        <v>221</v>
      </c>
      <c r="C49" s="133">
        <f t="shared" si="4"/>
        <v>676</v>
      </c>
      <c r="D49" s="133">
        <v>676</v>
      </c>
      <c r="E49" s="257">
        <v>0</v>
      </c>
      <c r="F49" s="133">
        <f t="shared" si="5"/>
        <v>2200</v>
      </c>
      <c r="G49" s="133">
        <v>2150</v>
      </c>
      <c r="H49" s="133">
        <v>50</v>
      </c>
      <c r="I49" s="257">
        <v>0</v>
      </c>
      <c r="J49" s="257">
        <v>0</v>
      </c>
      <c r="K49" s="133">
        <v>2200</v>
      </c>
      <c r="L49" s="133">
        <f t="shared" si="3"/>
        <v>56</v>
      </c>
      <c r="M49" s="133">
        <v>56</v>
      </c>
      <c r="N49" s="257">
        <v>0</v>
      </c>
      <c r="O49" s="257">
        <v>0</v>
      </c>
      <c r="P49" s="257">
        <v>0</v>
      </c>
      <c r="Q49" s="133">
        <v>56</v>
      </c>
    </row>
    <row r="50" spans="1:17" ht="15.75">
      <c r="A50" s="79">
        <v>40</v>
      </c>
      <c r="B50" s="82" t="s">
        <v>222</v>
      </c>
      <c r="C50" s="133">
        <f t="shared" si="4"/>
        <v>482</v>
      </c>
      <c r="D50" s="133">
        <v>482</v>
      </c>
      <c r="E50" s="257">
        <v>0</v>
      </c>
      <c r="F50" s="133">
        <f t="shared" si="5"/>
        <v>11686</v>
      </c>
      <c r="G50" s="133">
        <v>11684</v>
      </c>
      <c r="H50" s="133">
        <v>2</v>
      </c>
      <c r="I50" s="257">
        <v>0</v>
      </c>
      <c r="J50" s="133">
        <v>38</v>
      </c>
      <c r="K50" s="133">
        <v>11648</v>
      </c>
      <c r="L50" s="133">
        <f t="shared" si="3"/>
        <v>32</v>
      </c>
      <c r="M50" s="133">
        <v>32</v>
      </c>
      <c r="N50" s="257">
        <v>0</v>
      </c>
      <c r="O50" s="257">
        <v>0</v>
      </c>
      <c r="P50" s="257">
        <v>0</v>
      </c>
      <c r="Q50" s="133">
        <v>32</v>
      </c>
    </row>
    <row r="51" spans="1:17" ht="15.75">
      <c r="A51" s="79">
        <v>41</v>
      </c>
      <c r="B51" s="82" t="s">
        <v>223</v>
      </c>
      <c r="C51" s="133">
        <f t="shared" si="4"/>
        <v>50</v>
      </c>
      <c r="D51" s="133">
        <v>50</v>
      </c>
      <c r="E51" s="257">
        <v>0</v>
      </c>
      <c r="F51" s="133">
        <f t="shared" si="5"/>
        <v>2696</v>
      </c>
      <c r="G51" s="133">
        <v>2611</v>
      </c>
      <c r="H51" s="133">
        <v>85</v>
      </c>
      <c r="I51" s="257">
        <v>0</v>
      </c>
      <c r="J51" s="133">
        <v>1</v>
      </c>
      <c r="K51" s="133">
        <v>2695</v>
      </c>
      <c r="L51" s="133">
        <f t="shared" si="3"/>
        <v>30</v>
      </c>
      <c r="M51" s="133">
        <v>30</v>
      </c>
      <c r="N51" s="257">
        <v>0</v>
      </c>
      <c r="O51" s="257">
        <v>0</v>
      </c>
      <c r="P51" s="257">
        <v>0</v>
      </c>
      <c r="Q51" s="133">
        <v>30</v>
      </c>
    </row>
    <row r="52" spans="1:17" ht="15.75">
      <c r="A52" s="79">
        <v>42</v>
      </c>
      <c r="B52" s="82" t="s">
        <v>224</v>
      </c>
      <c r="C52" s="133">
        <f t="shared" si="4"/>
        <v>440</v>
      </c>
      <c r="D52" s="133">
        <v>440</v>
      </c>
      <c r="E52" s="257">
        <v>0</v>
      </c>
      <c r="F52" s="133">
        <f t="shared" si="5"/>
        <v>920</v>
      </c>
      <c r="G52" s="133">
        <v>912</v>
      </c>
      <c r="H52" s="133">
        <v>8</v>
      </c>
      <c r="I52" s="257">
        <v>0</v>
      </c>
      <c r="J52" s="133">
        <v>1</v>
      </c>
      <c r="K52" s="133">
        <v>919</v>
      </c>
      <c r="L52" s="133">
        <f t="shared" si="3"/>
        <v>411</v>
      </c>
      <c r="M52" s="133">
        <v>411</v>
      </c>
      <c r="N52" s="257">
        <v>0</v>
      </c>
      <c r="O52" s="257">
        <v>0</v>
      </c>
      <c r="P52" s="133">
        <v>1</v>
      </c>
      <c r="Q52" s="133">
        <v>410</v>
      </c>
    </row>
    <row r="53" spans="1:17" ht="15.75">
      <c r="A53" s="79">
        <v>43</v>
      </c>
      <c r="B53" s="82" t="s">
        <v>225</v>
      </c>
      <c r="C53" s="133">
        <f t="shared" si="4"/>
        <v>1939</v>
      </c>
      <c r="D53" s="133">
        <v>1928</v>
      </c>
      <c r="E53" s="133">
        <v>11</v>
      </c>
      <c r="F53" s="133">
        <f t="shared" si="5"/>
        <v>1917</v>
      </c>
      <c r="G53" s="133">
        <v>1906</v>
      </c>
      <c r="H53" s="133">
        <v>11</v>
      </c>
      <c r="I53" s="257">
        <v>0</v>
      </c>
      <c r="J53" s="257">
        <v>0</v>
      </c>
      <c r="K53" s="133">
        <v>1917</v>
      </c>
      <c r="L53" s="133">
        <f t="shared" si="3"/>
        <v>22</v>
      </c>
      <c r="M53" s="133">
        <v>22</v>
      </c>
      <c r="N53" s="257">
        <v>0</v>
      </c>
      <c r="O53" s="257">
        <v>0</v>
      </c>
      <c r="P53" s="257">
        <v>0</v>
      </c>
      <c r="Q53" s="133">
        <v>22</v>
      </c>
    </row>
    <row r="54" spans="1:17" ht="15.75">
      <c r="A54" s="79">
        <v>44</v>
      </c>
      <c r="B54" s="82" t="s">
        <v>226</v>
      </c>
      <c r="C54" s="133">
        <f t="shared" si="4"/>
        <v>1662</v>
      </c>
      <c r="D54" s="133">
        <v>1662</v>
      </c>
      <c r="E54" s="257">
        <v>0</v>
      </c>
      <c r="F54" s="133">
        <f t="shared" si="5"/>
        <v>518</v>
      </c>
      <c r="G54" s="133">
        <v>509</v>
      </c>
      <c r="H54" s="133">
        <v>8</v>
      </c>
      <c r="I54" s="133">
        <v>1</v>
      </c>
      <c r="J54" s="257">
        <v>0</v>
      </c>
      <c r="K54" s="133">
        <v>518</v>
      </c>
      <c r="L54" s="133">
        <f t="shared" si="3"/>
        <v>478</v>
      </c>
      <c r="M54" s="133">
        <v>478</v>
      </c>
      <c r="N54" s="257">
        <v>0</v>
      </c>
      <c r="O54" s="257">
        <v>0</v>
      </c>
      <c r="P54" s="133">
        <v>5</v>
      </c>
      <c r="Q54" s="133">
        <v>473</v>
      </c>
    </row>
    <row r="55" spans="1:17" s="70" customFormat="1" ht="15.75">
      <c r="A55" s="79">
        <v>45</v>
      </c>
      <c r="B55" s="83" t="s">
        <v>231</v>
      </c>
      <c r="C55" s="133">
        <f t="shared" si="4"/>
        <v>2216</v>
      </c>
      <c r="D55" s="133">
        <v>2216</v>
      </c>
      <c r="E55" s="257">
        <v>0</v>
      </c>
      <c r="F55" s="133">
        <f t="shared" si="5"/>
        <v>3998</v>
      </c>
      <c r="G55" s="133">
        <v>3993</v>
      </c>
      <c r="H55" s="133">
        <v>5</v>
      </c>
      <c r="I55" s="257">
        <v>0</v>
      </c>
      <c r="J55" s="133">
        <v>2</v>
      </c>
      <c r="K55" s="133">
        <v>3996</v>
      </c>
      <c r="L55" s="133">
        <f t="shared" si="3"/>
        <v>165</v>
      </c>
      <c r="M55" s="133">
        <v>165</v>
      </c>
      <c r="N55" s="257">
        <v>0</v>
      </c>
      <c r="O55" s="257">
        <v>0</v>
      </c>
      <c r="P55" s="257">
        <v>0</v>
      </c>
      <c r="Q55" s="133">
        <v>165</v>
      </c>
    </row>
    <row r="56" spans="1:17" s="71" customFormat="1" ht="15.75">
      <c r="A56" s="79">
        <v>46</v>
      </c>
      <c r="B56" s="83" t="s">
        <v>232</v>
      </c>
      <c r="C56" s="133">
        <f t="shared" si="4"/>
        <v>275</v>
      </c>
      <c r="D56" s="133">
        <v>275</v>
      </c>
      <c r="E56" s="257">
        <v>0</v>
      </c>
      <c r="F56" s="133">
        <f t="shared" si="5"/>
        <v>2065</v>
      </c>
      <c r="G56" s="133">
        <v>1877</v>
      </c>
      <c r="H56" s="133">
        <v>188</v>
      </c>
      <c r="I56" s="257">
        <v>0</v>
      </c>
      <c r="J56" s="133">
        <v>1</v>
      </c>
      <c r="K56" s="133">
        <v>2064</v>
      </c>
      <c r="L56" s="133">
        <f t="shared" si="3"/>
        <v>504</v>
      </c>
      <c r="M56" s="133">
        <v>503</v>
      </c>
      <c r="N56" s="133">
        <v>1</v>
      </c>
      <c r="O56" s="257">
        <v>0</v>
      </c>
      <c r="P56" s="133">
        <v>10</v>
      </c>
      <c r="Q56" s="133">
        <v>494</v>
      </c>
    </row>
    <row r="57" spans="1:17" s="71" customFormat="1" ht="15.75">
      <c r="A57" s="79">
        <v>47</v>
      </c>
      <c r="B57" s="83" t="s">
        <v>233</v>
      </c>
      <c r="C57" s="133">
        <f t="shared" si="4"/>
        <v>793</v>
      </c>
      <c r="D57" s="133">
        <v>793</v>
      </c>
      <c r="E57" s="257">
        <v>0</v>
      </c>
      <c r="F57" s="133">
        <f t="shared" si="5"/>
        <v>1292</v>
      </c>
      <c r="G57" s="133">
        <v>1291</v>
      </c>
      <c r="H57" s="133">
        <v>1</v>
      </c>
      <c r="I57" s="257">
        <v>0</v>
      </c>
      <c r="J57" s="257">
        <v>0</v>
      </c>
      <c r="K57" s="133">
        <v>1292</v>
      </c>
      <c r="L57" s="133">
        <f t="shared" si="3"/>
        <v>310</v>
      </c>
      <c r="M57" s="133">
        <v>310</v>
      </c>
      <c r="N57" s="257">
        <v>0</v>
      </c>
      <c r="O57" s="257">
        <v>0</v>
      </c>
      <c r="P57" s="257">
        <v>0</v>
      </c>
      <c r="Q57" s="133">
        <v>310</v>
      </c>
    </row>
    <row r="58" spans="1:17" s="71" customFormat="1" ht="15.75">
      <c r="A58" s="79">
        <v>48</v>
      </c>
      <c r="B58" s="83" t="s">
        <v>234</v>
      </c>
      <c r="C58" s="133">
        <f t="shared" si="4"/>
        <v>383</v>
      </c>
      <c r="D58" s="133">
        <v>383</v>
      </c>
      <c r="E58" s="257">
        <v>0</v>
      </c>
      <c r="F58" s="133">
        <f t="shared" si="5"/>
        <v>2702</v>
      </c>
      <c r="G58" s="133">
        <v>2582</v>
      </c>
      <c r="H58" s="133">
        <v>120</v>
      </c>
      <c r="I58" s="257">
        <v>0</v>
      </c>
      <c r="J58" s="133">
        <v>1</v>
      </c>
      <c r="K58" s="133">
        <v>2701</v>
      </c>
      <c r="L58" s="133">
        <f t="shared" si="3"/>
        <v>199</v>
      </c>
      <c r="M58" s="133">
        <v>199</v>
      </c>
      <c r="N58" s="257">
        <v>0</v>
      </c>
      <c r="O58" s="257">
        <v>0</v>
      </c>
      <c r="P58" s="133">
        <v>3</v>
      </c>
      <c r="Q58" s="133">
        <v>196</v>
      </c>
    </row>
    <row r="59" spans="1:17" s="71" customFormat="1" ht="15.75">
      <c r="A59" s="79">
        <v>49</v>
      </c>
      <c r="B59" s="83" t="s">
        <v>235</v>
      </c>
      <c r="C59" s="133">
        <f t="shared" si="4"/>
        <v>1741</v>
      </c>
      <c r="D59" s="133">
        <v>1741</v>
      </c>
      <c r="E59" s="257">
        <v>0</v>
      </c>
      <c r="F59" s="133">
        <f t="shared" si="5"/>
        <v>833</v>
      </c>
      <c r="G59" s="133">
        <v>830</v>
      </c>
      <c r="H59" s="133">
        <v>3</v>
      </c>
      <c r="I59" s="257">
        <v>0</v>
      </c>
      <c r="J59" s="257">
        <v>0</v>
      </c>
      <c r="K59" s="133">
        <v>833</v>
      </c>
      <c r="L59" s="133">
        <f t="shared" si="3"/>
        <v>97</v>
      </c>
      <c r="M59" s="133">
        <v>97</v>
      </c>
      <c r="N59" s="257">
        <v>0</v>
      </c>
      <c r="O59" s="257">
        <v>0</v>
      </c>
      <c r="P59" s="133">
        <v>2</v>
      </c>
      <c r="Q59" s="133">
        <v>95</v>
      </c>
    </row>
    <row r="60" spans="1:17" s="71" customFormat="1" ht="15.75">
      <c r="A60" s="79">
        <v>50</v>
      </c>
      <c r="B60" s="83" t="s">
        <v>236</v>
      </c>
      <c r="C60" s="133">
        <f t="shared" si="4"/>
        <v>575</v>
      </c>
      <c r="D60" s="133">
        <v>575</v>
      </c>
      <c r="E60" s="257">
        <v>0</v>
      </c>
      <c r="F60" s="133">
        <f t="shared" si="5"/>
        <v>2523</v>
      </c>
      <c r="G60" s="133">
        <v>2522</v>
      </c>
      <c r="H60" s="133">
        <v>1</v>
      </c>
      <c r="I60" s="257">
        <v>0</v>
      </c>
      <c r="J60" s="133">
        <v>1</v>
      </c>
      <c r="K60" s="133">
        <v>2522</v>
      </c>
      <c r="L60" s="133">
        <f t="shared" si="3"/>
        <v>623</v>
      </c>
      <c r="M60" s="133">
        <v>623</v>
      </c>
      <c r="N60" s="257">
        <v>0</v>
      </c>
      <c r="O60" s="257">
        <v>0</v>
      </c>
      <c r="P60" s="133">
        <v>3</v>
      </c>
      <c r="Q60" s="133">
        <v>620</v>
      </c>
    </row>
    <row r="61" spans="1:17" s="71" customFormat="1" ht="15.75">
      <c r="A61" s="79">
        <v>51</v>
      </c>
      <c r="B61" s="84" t="s">
        <v>237</v>
      </c>
      <c r="C61" s="133">
        <f t="shared" si="4"/>
        <v>464</v>
      </c>
      <c r="D61" s="133">
        <v>459</v>
      </c>
      <c r="E61" s="133">
        <v>5</v>
      </c>
      <c r="F61" s="133">
        <f t="shared" si="5"/>
        <v>456</v>
      </c>
      <c r="G61" s="133">
        <v>451</v>
      </c>
      <c r="H61" s="133">
        <v>5</v>
      </c>
      <c r="I61" s="257">
        <v>0</v>
      </c>
      <c r="J61" s="133">
        <v>4</v>
      </c>
      <c r="K61" s="133">
        <v>452</v>
      </c>
      <c r="L61" s="133">
        <f t="shared" si="3"/>
        <v>8</v>
      </c>
      <c r="M61" s="133">
        <v>8</v>
      </c>
      <c r="N61" s="257">
        <v>0</v>
      </c>
      <c r="O61" s="257">
        <v>0</v>
      </c>
      <c r="P61" s="257">
        <v>0</v>
      </c>
      <c r="Q61" s="133">
        <v>8</v>
      </c>
    </row>
    <row r="62" spans="1:17" s="70" customFormat="1" ht="15.75">
      <c r="A62" s="79">
        <v>52</v>
      </c>
      <c r="B62" s="84" t="s">
        <v>238</v>
      </c>
      <c r="C62" s="133">
        <f t="shared" si="4"/>
        <v>2162</v>
      </c>
      <c r="D62" s="133">
        <v>2160</v>
      </c>
      <c r="E62" s="133">
        <v>2</v>
      </c>
      <c r="F62" s="133">
        <f t="shared" si="5"/>
        <v>1462</v>
      </c>
      <c r="G62" s="133">
        <v>1396</v>
      </c>
      <c r="H62" s="133">
        <v>66</v>
      </c>
      <c r="I62" s="257">
        <v>0</v>
      </c>
      <c r="J62" s="133">
        <v>13</v>
      </c>
      <c r="K62" s="133">
        <v>1449</v>
      </c>
      <c r="L62" s="133">
        <f t="shared" si="3"/>
        <v>628</v>
      </c>
      <c r="M62" s="133">
        <v>628</v>
      </c>
      <c r="N62" s="257">
        <v>0</v>
      </c>
      <c r="O62" s="257">
        <v>0</v>
      </c>
      <c r="P62" s="133">
        <v>7</v>
      </c>
      <c r="Q62" s="133">
        <v>621</v>
      </c>
    </row>
    <row r="63" spans="1:17" s="71" customFormat="1" ht="15.75">
      <c r="A63" s="79">
        <v>53</v>
      </c>
      <c r="B63" s="84" t="s">
        <v>239</v>
      </c>
      <c r="C63" s="133">
        <f t="shared" si="4"/>
        <v>4348</v>
      </c>
      <c r="D63" s="133">
        <v>4125</v>
      </c>
      <c r="E63" s="133">
        <v>223</v>
      </c>
      <c r="F63" s="133">
        <f t="shared" si="5"/>
        <v>4297</v>
      </c>
      <c r="G63" s="133">
        <v>4074</v>
      </c>
      <c r="H63" s="133">
        <v>223</v>
      </c>
      <c r="I63" s="133"/>
      <c r="J63" s="133"/>
      <c r="K63" s="133">
        <v>4297</v>
      </c>
      <c r="L63" s="133">
        <f t="shared" si="3"/>
        <v>51</v>
      </c>
      <c r="M63" s="133">
        <v>51</v>
      </c>
      <c r="N63" s="257">
        <v>0</v>
      </c>
      <c r="O63" s="257">
        <v>0</v>
      </c>
      <c r="P63" s="257">
        <v>0</v>
      </c>
      <c r="Q63" s="133">
        <v>51</v>
      </c>
    </row>
    <row r="64" spans="1:17" s="70" customFormat="1" ht="15.75">
      <c r="A64" s="79">
        <v>54</v>
      </c>
      <c r="B64" s="84" t="s">
        <v>240</v>
      </c>
      <c r="C64" s="133">
        <f t="shared" si="4"/>
        <v>1944</v>
      </c>
      <c r="D64" s="133">
        <v>1944</v>
      </c>
      <c r="E64" s="257">
        <v>0</v>
      </c>
      <c r="F64" s="133">
        <f t="shared" si="5"/>
        <v>3030</v>
      </c>
      <c r="G64" s="133">
        <v>3011</v>
      </c>
      <c r="H64" s="133">
        <v>19</v>
      </c>
      <c r="I64" s="133"/>
      <c r="J64" s="133">
        <v>6</v>
      </c>
      <c r="K64" s="133">
        <v>3024</v>
      </c>
      <c r="L64" s="133">
        <f t="shared" si="3"/>
        <v>18</v>
      </c>
      <c r="M64" s="133">
        <v>18</v>
      </c>
      <c r="N64" s="257">
        <v>0</v>
      </c>
      <c r="O64" s="257">
        <v>0</v>
      </c>
      <c r="P64" s="257">
        <v>0</v>
      </c>
      <c r="Q64" s="133">
        <v>8</v>
      </c>
    </row>
    <row r="65" spans="1:17" s="71" customFormat="1" ht="15.75">
      <c r="A65" s="79">
        <v>55</v>
      </c>
      <c r="B65" s="84" t="s">
        <v>241</v>
      </c>
      <c r="C65" s="133">
        <f t="shared" si="4"/>
        <v>10054</v>
      </c>
      <c r="D65" s="133">
        <v>10054</v>
      </c>
      <c r="E65" s="257">
        <v>0</v>
      </c>
      <c r="F65" s="133">
        <f t="shared" si="5"/>
        <v>3546</v>
      </c>
      <c r="G65" s="133">
        <v>3526</v>
      </c>
      <c r="H65" s="133">
        <v>20</v>
      </c>
      <c r="I65" s="257">
        <v>0</v>
      </c>
      <c r="J65" s="257">
        <v>0</v>
      </c>
      <c r="K65" s="133">
        <v>3546</v>
      </c>
      <c r="L65" s="133">
        <f t="shared" si="3"/>
        <v>49</v>
      </c>
      <c r="M65" s="133">
        <v>49</v>
      </c>
      <c r="N65" s="257">
        <v>0</v>
      </c>
      <c r="O65" s="257">
        <v>0</v>
      </c>
      <c r="P65" s="257">
        <v>0</v>
      </c>
      <c r="Q65" s="133">
        <v>49</v>
      </c>
    </row>
    <row r="66" spans="1:17" s="70" customFormat="1" ht="15.75">
      <c r="A66" s="79">
        <v>56</v>
      </c>
      <c r="B66" s="84" t="s">
        <v>242</v>
      </c>
      <c r="C66" s="133">
        <f t="shared" si="4"/>
        <v>1223</v>
      </c>
      <c r="D66" s="133">
        <v>1213</v>
      </c>
      <c r="E66" s="133">
        <v>10</v>
      </c>
      <c r="F66" s="133">
        <f t="shared" si="5"/>
        <v>2920</v>
      </c>
      <c r="G66" s="133">
        <v>2908</v>
      </c>
      <c r="H66" s="133">
        <v>12</v>
      </c>
      <c r="I66" s="257">
        <v>0</v>
      </c>
      <c r="J66" s="133">
        <v>2</v>
      </c>
      <c r="K66" s="133">
        <v>2918</v>
      </c>
      <c r="L66" s="133">
        <f t="shared" si="3"/>
        <v>1800</v>
      </c>
      <c r="M66" s="133">
        <v>1800</v>
      </c>
      <c r="N66" s="257">
        <v>0</v>
      </c>
      <c r="O66" s="257">
        <v>0</v>
      </c>
      <c r="P66" s="133">
        <v>10</v>
      </c>
      <c r="Q66" s="133">
        <v>1790</v>
      </c>
    </row>
    <row r="67" spans="1:17" s="71" customFormat="1" ht="15.75">
      <c r="A67" s="79">
        <v>57</v>
      </c>
      <c r="B67" s="84" t="s">
        <v>243</v>
      </c>
      <c r="C67" s="133">
        <f t="shared" si="4"/>
        <v>667</v>
      </c>
      <c r="D67" s="133">
        <v>667</v>
      </c>
      <c r="E67" s="257">
        <v>0</v>
      </c>
      <c r="F67" s="133">
        <f t="shared" si="5"/>
        <v>2548</v>
      </c>
      <c r="G67" s="133">
        <v>2533</v>
      </c>
      <c r="H67" s="133">
        <v>15</v>
      </c>
      <c r="I67" s="257">
        <v>0</v>
      </c>
      <c r="J67" s="257">
        <v>0</v>
      </c>
      <c r="K67" s="133">
        <v>2548</v>
      </c>
      <c r="L67" s="133">
        <f t="shared" si="3"/>
        <v>1300</v>
      </c>
      <c r="M67" s="133">
        <v>1300</v>
      </c>
      <c r="N67" s="257">
        <v>0</v>
      </c>
      <c r="O67" s="257">
        <v>0</v>
      </c>
      <c r="P67" s="257">
        <v>0</v>
      </c>
      <c r="Q67" s="133">
        <v>1300</v>
      </c>
    </row>
    <row r="68" spans="1:17" s="70" customFormat="1" ht="15.75">
      <c r="A68" s="79">
        <v>58</v>
      </c>
      <c r="B68" s="84" t="s">
        <v>244</v>
      </c>
      <c r="C68" s="133">
        <f t="shared" si="4"/>
        <v>45651</v>
      </c>
      <c r="D68" s="133">
        <v>42891</v>
      </c>
      <c r="E68" s="133">
        <v>2760</v>
      </c>
      <c r="F68" s="133">
        <f>J68+K68</f>
        <v>25299</v>
      </c>
      <c r="G68" s="133"/>
      <c r="H68" s="133"/>
      <c r="I68" s="257">
        <v>0</v>
      </c>
      <c r="J68" s="133">
        <v>108</v>
      </c>
      <c r="K68" s="133">
        <v>25191</v>
      </c>
      <c r="L68" s="133">
        <f>P68+Q68</f>
        <v>20352</v>
      </c>
      <c r="M68" s="133"/>
      <c r="N68" s="133"/>
      <c r="O68" s="257">
        <v>0</v>
      </c>
      <c r="P68" s="133">
        <v>295</v>
      </c>
      <c r="Q68" s="165">
        <v>20057</v>
      </c>
    </row>
    <row r="69" spans="1:17" s="71" customFormat="1" ht="15.75">
      <c r="A69" s="79">
        <v>59</v>
      </c>
      <c r="B69" s="84" t="s">
        <v>245</v>
      </c>
      <c r="C69" s="133">
        <f t="shared" si="4"/>
        <v>151</v>
      </c>
      <c r="D69" s="133">
        <v>151</v>
      </c>
      <c r="E69" s="257">
        <v>0</v>
      </c>
      <c r="F69" s="133">
        <f>J69+K69</f>
        <v>1119</v>
      </c>
      <c r="G69" s="133">
        <v>1029</v>
      </c>
      <c r="H69" s="133">
        <v>90</v>
      </c>
      <c r="I69" s="257">
        <v>0</v>
      </c>
      <c r="J69" s="133">
        <v>1</v>
      </c>
      <c r="K69" s="133">
        <v>1118</v>
      </c>
      <c r="L69" s="133">
        <f t="shared" si="3"/>
        <v>817</v>
      </c>
      <c r="M69" s="133">
        <v>817</v>
      </c>
      <c r="N69" s="257">
        <v>0</v>
      </c>
      <c r="O69" s="257">
        <v>0</v>
      </c>
      <c r="P69" s="133">
        <v>2</v>
      </c>
      <c r="Q69" s="133">
        <v>815</v>
      </c>
    </row>
    <row r="70" spans="1:17" s="71" customFormat="1" ht="15.75">
      <c r="A70" s="79">
        <v>60</v>
      </c>
      <c r="B70" s="84" t="s">
        <v>246</v>
      </c>
      <c r="C70" s="133">
        <f t="shared" si="4"/>
        <v>1772</v>
      </c>
      <c r="D70" s="133">
        <v>1772</v>
      </c>
      <c r="E70" s="257">
        <v>0</v>
      </c>
      <c r="F70" s="133">
        <f>G70+H70+I70</f>
        <v>678</v>
      </c>
      <c r="G70" s="133">
        <v>677</v>
      </c>
      <c r="H70" s="133">
        <v>1</v>
      </c>
      <c r="I70" s="257">
        <v>0</v>
      </c>
      <c r="J70" s="133">
        <v>3</v>
      </c>
      <c r="K70" s="133">
        <v>675</v>
      </c>
      <c r="L70" s="133">
        <f t="shared" si="3"/>
        <v>13</v>
      </c>
      <c r="M70" s="133">
        <v>13</v>
      </c>
      <c r="N70" s="257">
        <v>0</v>
      </c>
      <c r="O70" s="257">
        <v>0</v>
      </c>
      <c r="P70" s="257">
        <v>0</v>
      </c>
      <c r="Q70" s="133">
        <v>13</v>
      </c>
    </row>
    <row r="71" spans="1:17" s="71" customFormat="1" ht="15.75">
      <c r="A71" s="79">
        <v>61</v>
      </c>
      <c r="B71" s="84" t="s">
        <v>247</v>
      </c>
      <c r="C71" s="133">
        <f t="shared" si="4"/>
        <v>2435</v>
      </c>
      <c r="D71" s="133">
        <v>2420</v>
      </c>
      <c r="E71" s="133">
        <v>15</v>
      </c>
      <c r="F71" s="133">
        <f>G71+H71+I71</f>
        <v>1485</v>
      </c>
      <c r="G71" s="133">
        <v>1474</v>
      </c>
      <c r="H71" s="133">
        <v>11</v>
      </c>
      <c r="I71" s="257">
        <v>0</v>
      </c>
      <c r="J71" s="133">
        <v>2</v>
      </c>
      <c r="K71" s="133">
        <v>1483</v>
      </c>
      <c r="L71" s="133">
        <f t="shared" si="3"/>
        <v>950</v>
      </c>
      <c r="M71" s="133">
        <v>946</v>
      </c>
      <c r="N71" s="257">
        <v>0</v>
      </c>
      <c r="O71" s="133">
        <v>4</v>
      </c>
      <c r="P71" s="133">
        <v>3</v>
      </c>
      <c r="Q71" s="133">
        <v>947</v>
      </c>
    </row>
    <row r="72" spans="1:17" s="71" customFormat="1" ht="15.75">
      <c r="A72" s="79">
        <v>62</v>
      </c>
      <c r="B72" s="84" t="s">
        <v>248</v>
      </c>
      <c r="C72" s="133">
        <f t="shared" si="4"/>
        <v>3718</v>
      </c>
      <c r="D72" s="133">
        <v>3688</v>
      </c>
      <c r="E72" s="133">
        <v>30</v>
      </c>
      <c r="F72" s="133">
        <f>G72+H72+I72</f>
        <v>3688</v>
      </c>
      <c r="G72" s="133">
        <v>3662</v>
      </c>
      <c r="H72" s="133">
        <v>26</v>
      </c>
      <c r="I72" s="257">
        <v>0</v>
      </c>
      <c r="J72" s="257">
        <v>0</v>
      </c>
      <c r="K72" s="133">
        <v>3686</v>
      </c>
      <c r="L72" s="133">
        <v>14</v>
      </c>
      <c r="M72" s="257">
        <v>0</v>
      </c>
      <c r="N72" s="257">
        <v>0</v>
      </c>
      <c r="O72" s="257">
        <v>0</v>
      </c>
      <c r="P72" s="257">
        <v>0</v>
      </c>
      <c r="Q72" s="257">
        <v>0</v>
      </c>
    </row>
    <row r="73" spans="1:17" s="70" customFormat="1" ht="15.75">
      <c r="A73" s="79">
        <v>63</v>
      </c>
      <c r="B73" s="84" t="s">
        <v>249</v>
      </c>
      <c r="C73" s="133">
        <f t="shared" si="4"/>
        <v>646</v>
      </c>
      <c r="D73" s="133">
        <v>646</v>
      </c>
      <c r="E73" s="257">
        <v>0</v>
      </c>
      <c r="F73" s="133">
        <f>G73+H73+I73</f>
        <v>1451</v>
      </c>
      <c r="G73" s="133">
        <v>1451</v>
      </c>
      <c r="H73" s="257">
        <v>0</v>
      </c>
      <c r="I73" s="257">
        <v>0</v>
      </c>
      <c r="J73" s="133">
        <v>2</v>
      </c>
      <c r="K73" s="133">
        <v>1449</v>
      </c>
      <c r="L73" s="133">
        <f t="shared" si="3"/>
        <v>5</v>
      </c>
      <c r="M73" s="133">
        <v>5</v>
      </c>
      <c r="N73" s="257">
        <v>0</v>
      </c>
      <c r="O73" s="257">
        <v>0</v>
      </c>
      <c r="P73" s="257">
        <v>0</v>
      </c>
      <c r="Q73" s="257">
        <v>0</v>
      </c>
    </row>
    <row r="76" spans="1:17" s="102" customFormat="1" ht="12.75">
      <c r="A76" s="32"/>
      <c r="B76" s="32" t="s">
        <v>252</v>
      </c>
      <c r="C76" s="32" t="s">
        <v>303</v>
      </c>
      <c r="D76" s="32"/>
      <c r="E76" s="32"/>
      <c r="F76" s="32"/>
      <c r="G76" s="32"/>
      <c r="H76" s="32"/>
      <c r="I76" s="32"/>
      <c r="J76" s="32"/>
      <c r="K76" s="100"/>
      <c r="L76" s="32"/>
      <c r="M76" s="32"/>
      <c r="N76" s="32"/>
      <c r="O76" s="32"/>
      <c r="P76" s="32"/>
      <c r="Q76" s="32"/>
    </row>
    <row r="77" spans="1:17" s="102" customFormat="1" ht="12.75">
      <c r="A77" s="32"/>
      <c r="B77" s="32" t="s">
        <v>304</v>
      </c>
      <c r="C77" s="32" t="s">
        <v>305</v>
      </c>
      <c r="D77" s="32"/>
      <c r="E77" s="32"/>
      <c r="F77" s="32"/>
      <c r="G77" s="32"/>
      <c r="H77" s="32"/>
      <c r="I77" s="32"/>
      <c r="J77" s="32"/>
      <c r="K77" s="100"/>
      <c r="L77" s="32"/>
      <c r="M77" s="32"/>
      <c r="N77" s="32"/>
      <c r="O77" s="32"/>
      <c r="P77" s="32"/>
      <c r="Q77" s="32"/>
    </row>
    <row r="78" spans="1:17" s="99" customFormat="1" ht="12.75">
      <c r="A78" s="32"/>
      <c r="B78" s="32" t="s">
        <v>278</v>
      </c>
      <c r="C78" s="32" t="s">
        <v>306</v>
      </c>
      <c r="E78" s="32"/>
      <c r="F78" s="32"/>
      <c r="G78" s="32"/>
      <c r="H78" s="32"/>
      <c r="I78" s="32"/>
      <c r="J78" s="32"/>
      <c r="K78" s="100"/>
      <c r="L78" s="32"/>
      <c r="M78" s="32"/>
      <c r="N78" s="32"/>
      <c r="O78" s="32"/>
      <c r="P78" s="32"/>
      <c r="Q78" s="32"/>
    </row>
  </sheetData>
  <sheetProtection/>
  <mergeCells count="16">
    <mergeCell ref="A10:B10"/>
    <mergeCell ref="A6:B8"/>
    <mergeCell ref="A9:B9"/>
    <mergeCell ref="C7:C8"/>
    <mergeCell ref="C6:E6"/>
    <mergeCell ref="D7:E7"/>
    <mergeCell ref="M7:O7"/>
    <mergeCell ref="P7:Q7"/>
    <mergeCell ref="A3:Q3"/>
    <mergeCell ref="A4:Q4"/>
    <mergeCell ref="F6:K6"/>
    <mergeCell ref="L6:Q6"/>
    <mergeCell ref="F7:F8"/>
    <mergeCell ref="L7:L8"/>
    <mergeCell ref="G7:I7"/>
    <mergeCell ref="J7:K7"/>
  </mergeCells>
  <printOptions/>
  <pageMargins left="0.75" right="0.25" top="0.75" bottom="0.75" header="0.5" footer="0.5"/>
  <pageSetup horizontalDpi="200" verticalDpi="200" orientation="landscape" paperSize="9" r:id="rId2"/>
  <drawing r:id="rId1"/>
</worksheet>
</file>

<file path=xl/worksheets/sheet7.xml><?xml version="1.0" encoding="utf-8"?>
<worksheet xmlns="http://schemas.openxmlformats.org/spreadsheetml/2006/main" xmlns:r="http://schemas.openxmlformats.org/officeDocument/2006/relationships">
  <dimension ref="A1:S81"/>
  <sheetViews>
    <sheetView view="pageLayout" zoomScaleNormal="85" workbookViewId="0" topLeftCell="A1">
      <selection activeCell="C10" sqref="C10:G15"/>
    </sheetView>
  </sheetViews>
  <sheetFormatPr defaultColWidth="9.140625" defaultRowHeight="12.75"/>
  <cols>
    <col min="1" max="1" width="4.57421875" style="14" customWidth="1"/>
    <col min="2" max="2" width="12.140625" style="14" customWidth="1"/>
    <col min="3" max="5" width="6.57421875" style="14" customWidth="1"/>
    <col min="6" max="6" width="7.7109375" style="14" customWidth="1"/>
    <col min="7" max="7" width="6.57421875" style="14" customWidth="1"/>
    <col min="8" max="8" width="7.7109375" style="14" customWidth="1"/>
    <col min="9" max="10" width="11.421875" style="14" customWidth="1"/>
    <col min="11" max="11" width="9.57421875" style="14" customWidth="1"/>
    <col min="12" max="12" width="16.8515625" style="130" customWidth="1"/>
    <col min="13" max="13" width="14.28125" style="130" customWidth="1"/>
    <col min="14" max="14" width="16.140625" style="130" customWidth="1"/>
    <col min="15" max="15" width="9.140625" style="14" customWidth="1"/>
    <col min="16" max="16" width="22.7109375" style="130" customWidth="1"/>
    <col min="17" max="17" width="19.7109375" style="130" customWidth="1"/>
    <col min="18" max="19" width="16.57421875" style="14" bestFit="1" customWidth="1"/>
    <col min="20" max="16384" width="9.140625" style="14" customWidth="1"/>
  </cols>
  <sheetData>
    <row r="1" spans="1:14" ht="18.75">
      <c r="A1" s="375" t="s">
        <v>7</v>
      </c>
      <c r="B1" s="375"/>
      <c r="C1" s="34"/>
      <c r="D1" s="34"/>
      <c r="E1" s="34"/>
      <c r="F1" s="34"/>
      <c r="G1" s="34"/>
      <c r="H1" s="34"/>
      <c r="I1" s="34"/>
      <c r="J1" s="34"/>
      <c r="K1" s="34"/>
      <c r="L1" s="85"/>
      <c r="M1" s="85"/>
      <c r="N1" s="85"/>
    </row>
    <row r="2" spans="1:14" ht="18.75">
      <c r="A2" s="347" t="s">
        <v>82</v>
      </c>
      <c r="B2" s="347"/>
      <c r="C2" s="347"/>
      <c r="D2" s="347"/>
      <c r="E2" s="347"/>
      <c r="F2" s="347"/>
      <c r="G2" s="347"/>
      <c r="H2" s="347"/>
      <c r="I2" s="347"/>
      <c r="J2" s="347"/>
      <c r="K2" s="347"/>
      <c r="L2" s="347"/>
      <c r="M2" s="347"/>
      <c r="N2" s="347"/>
    </row>
    <row r="3" spans="1:14" ht="18.75">
      <c r="A3" s="384" t="s">
        <v>148</v>
      </c>
      <c r="B3" s="384"/>
      <c r="C3" s="384"/>
      <c r="D3" s="384"/>
      <c r="E3" s="384"/>
      <c r="F3" s="384"/>
      <c r="G3" s="384"/>
      <c r="H3" s="384"/>
      <c r="I3" s="384"/>
      <c r="J3" s="384"/>
      <c r="K3" s="384"/>
      <c r="L3" s="384"/>
      <c r="M3" s="384"/>
      <c r="N3" s="384"/>
    </row>
    <row r="4" spans="1:14" ht="18.75">
      <c r="A4" s="326" t="s">
        <v>286</v>
      </c>
      <c r="B4" s="365"/>
      <c r="C4" s="365"/>
      <c r="D4" s="365"/>
      <c r="E4" s="365"/>
      <c r="F4" s="365"/>
      <c r="G4" s="365"/>
      <c r="H4" s="365"/>
      <c r="I4" s="365"/>
      <c r="J4" s="365"/>
      <c r="K4" s="365"/>
      <c r="L4" s="365"/>
      <c r="M4" s="365"/>
      <c r="N4" s="365"/>
    </row>
    <row r="5" spans="1:14" ht="12.75">
      <c r="A5" s="225"/>
      <c r="B5" s="86"/>
      <c r="C5" s="1"/>
      <c r="D5" s="1"/>
      <c r="E5" s="1"/>
      <c r="F5" s="1"/>
      <c r="G5" s="1"/>
      <c r="H5" s="1"/>
      <c r="I5" s="12"/>
      <c r="J5" s="12"/>
      <c r="K5" s="13"/>
      <c r="L5" s="128" t="s">
        <v>272</v>
      </c>
      <c r="M5" s="128"/>
      <c r="N5" s="128"/>
    </row>
    <row r="6" spans="1:17" s="32" customFormat="1" ht="24.75" customHeight="1">
      <c r="A6" s="372"/>
      <c r="B6" s="372"/>
      <c r="C6" s="376" t="s">
        <v>72</v>
      </c>
      <c r="D6" s="377"/>
      <c r="E6" s="378"/>
      <c r="F6" s="381" t="s">
        <v>73</v>
      </c>
      <c r="G6" s="382"/>
      <c r="H6" s="383"/>
      <c r="I6" s="319" t="s">
        <v>74</v>
      </c>
      <c r="J6" s="319"/>
      <c r="K6" s="319"/>
      <c r="L6" s="366" t="s">
        <v>77</v>
      </c>
      <c r="M6" s="366" t="s">
        <v>25</v>
      </c>
      <c r="N6" s="366" t="s">
        <v>26</v>
      </c>
      <c r="P6" s="100"/>
      <c r="Q6" s="100"/>
    </row>
    <row r="7" spans="1:17" s="32" customFormat="1" ht="18" customHeight="1">
      <c r="A7" s="372"/>
      <c r="B7" s="372"/>
      <c r="C7" s="379" t="s">
        <v>9</v>
      </c>
      <c r="D7" s="367" t="s">
        <v>44</v>
      </c>
      <c r="E7" s="368"/>
      <c r="F7" s="379" t="s">
        <v>9</v>
      </c>
      <c r="G7" s="367" t="s">
        <v>44</v>
      </c>
      <c r="H7" s="368"/>
      <c r="I7" s="289" t="s">
        <v>9</v>
      </c>
      <c r="J7" s="287" t="s">
        <v>44</v>
      </c>
      <c r="K7" s="288"/>
      <c r="L7" s="366"/>
      <c r="M7" s="366"/>
      <c r="N7" s="366"/>
      <c r="P7" s="100"/>
      <c r="Q7" s="100"/>
    </row>
    <row r="8" spans="1:17" s="32" customFormat="1" ht="48">
      <c r="A8" s="372"/>
      <c r="B8" s="372"/>
      <c r="C8" s="380"/>
      <c r="D8" s="226" t="s">
        <v>133</v>
      </c>
      <c r="E8" s="226" t="s">
        <v>134</v>
      </c>
      <c r="F8" s="380"/>
      <c r="G8" s="226" t="s">
        <v>133</v>
      </c>
      <c r="H8" s="226" t="s">
        <v>134</v>
      </c>
      <c r="I8" s="295"/>
      <c r="J8" s="23" t="s">
        <v>76</v>
      </c>
      <c r="K8" s="23" t="s">
        <v>75</v>
      </c>
      <c r="L8" s="366"/>
      <c r="M8" s="366"/>
      <c r="N8" s="366"/>
      <c r="P8" s="100"/>
      <c r="Q8" s="100"/>
    </row>
    <row r="9" spans="1:17" s="32" customFormat="1" ht="12.75">
      <c r="A9" s="373" t="s">
        <v>40</v>
      </c>
      <c r="B9" s="374"/>
      <c r="C9" s="44">
        <v>1</v>
      </c>
      <c r="D9" s="44">
        <v>2</v>
      </c>
      <c r="E9" s="44">
        <v>3</v>
      </c>
      <c r="F9" s="44">
        <v>4</v>
      </c>
      <c r="G9" s="44">
        <v>5</v>
      </c>
      <c r="H9" s="44">
        <v>6</v>
      </c>
      <c r="I9" s="44">
        <v>7</v>
      </c>
      <c r="J9" s="44">
        <v>8</v>
      </c>
      <c r="K9" s="44">
        <v>9</v>
      </c>
      <c r="L9" s="44">
        <v>10</v>
      </c>
      <c r="M9" s="44">
        <v>11</v>
      </c>
      <c r="N9" s="44">
        <v>12</v>
      </c>
      <c r="P9" s="100"/>
      <c r="Q9" s="100"/>
    </row>
    <row r="10" spans="1:17" s="228" customFormat="1" ht="30" customHeight="1">
      <c r="A10" s="370" t="s">
        <v>97</v>
      </c>
      <c r="B10" s="371"/>
      <c r="C10" s="227">
        <f>SUM(C11:C73)</f>
        <v>730</v>
      </c>
      <c r="D10" s="227">
        <f>SUM(D11:D73)</f>
        <v>144</v>
      </c>
      <c r="E10" s="227">
        <f>SUM(E11:E73)</f>
        <v>586</v>
      </c>
      <c r="F10" s="227">
        <f>SUM(F11:F73)</f>
        <v>1463</v>
      </c>
      <c r="G10" s="227">
        <f>SUM(G11:G73)</f>
        <v>460</v>
      </c>
      <c r="H10" s="227">
        <f aca="true" t="shared" si="0" ref="H10:N10">SUM(H11:H73)</f>
        <v>1003</v>
      </c>
      <c r="I10" s="227">
        <f t="shared" si="0"/>
        <v>2514155</v>
      </c>
      <c r="J10" s="227">
        <f t="shared" si="0"/>
        <v>2139783</v>
      </c>
      <c r="K10" s="227">
        <f t="shared" si="0"/>
        <v>100460</v>
      </c>
      <c r="L10" s="227">
        <f t="shared" si="0"/>
        <v>680535108.158</v>
      </c>
      <c r="M10" s="227">
        <f t="shared" si="0"/>
        <v>85692100.911</v>
      </c>
      <c r="N10" s="227">
        <f t="shared" si="0"/>
        <v>203344656.665</v>
      </c>
      <c r="P10" s="229"/>
      <c r="Q10" s="229"/>
    </row>
    <row r="11" spans="1:14" ht="15.75">
      <c r="A11" s="79">
        <v>1</v>
      </c>
      <c r="B11" s="80" t="s">
        <v>167</v>
      </c>
      <c r="C11" s="133">
        <f>D11+E11</f>
        <v>17</v>
      </c>
      <c r="D11" s="133">
        <v>2</v>
      </c>
      <c r="E11" s="133">
        <v>15</v>
      </c>
      <c r="F11" s="133">
        <f>G11+H11</f>
        <v>25</v>
      </c>
      <c r="G11" s="133">
        <v>7</v>
      </c>
      <c r="H11" s="133">
        <v>18</v>
      </c>
      <c r="I11" s="133">
        <f>J11+K11</f>
        <v>67031</v>
      </c>
      <c r="J11" s="133">
        <f>15859+4955+333+37258+3503+2590</f>
        <v>64498</v>
      </c>
      <c r="K11" s="133">
        <f>2131+105+13+284</f>
        <v>2533</v>
      </c>
      <c r="L11" s="133">
        <v>15411539</v>
      </c>
      <c r="M11" s="133">
        <v>3344718</v>
      </c>
      <c r="N11" s="133">
        <v>3381733</v>
      </c>
    </row>
    <row r="12" spans="1:14" ht="30">
      <c r="A12" s="79">
        <v>2</v>
      </c>
      <c r="B12" s="80" t="s">
        <v>251</v>
      </c>
      <c r="C12" s="133">
        <f aca="true" t="shared" si="1" ref="C12:C73">D12+E12</f>
        <v>18</v>
      </c>
      <c r="D12" s="133">
        <v>3</v>
      </c>
      <c r="E12" s="133">
        <v>15</v>
      </c>
      <c r="F12" s="133">
        <f aca="true" t="shared" si="2" ref="F12:F73">G12+H12</f>
        <v>25</v>
      </c>
      <c r="G12" s="133">
        <v>10</v>
      </c>
      <c r="H12" s="133">
        <v>15</v>
      </c>
      <c r="I12" s="133">
        <f aca="true" t="shared" si="3" ref="I12:I73">J12+K12</f>
        <v>81052</v>
      </c>
      <c r="J12" s="166">
        <f>26659+6655+1104+24708+9935+9227</f>
        <v>78288</v>
      </c>
      <c r="K12" s="166">
        <f>2344+40+380</f>
        <v>2764</v>
      </c>
      <c r="L12" s="166">
        <v>19018163</v>
      </c>
      <c r="M12" s="166">
        <v>2813090</v>
      </c>
      <c r="N12" s="166">
        <v>5519370</v>
      </c>
    </row>
    <row r="13" spans="1:14" ht="15.75">
      <c r="A13" s="79">
        <v>3</v>
      </c>
      <c r="B13" s="80" t="s">
        <v>168</v>
      </c>
      <c r="C13" s="133">
        <f t="shared" si="1"/>
        <v>13</v>
      </c>
      <c r="D13" s="133">
        <v>2</v>
      </c>
      <c r="E13" s="133">
        <v>11</v>
      </c>
      <c r="F13" s="133">
        <f t="shared" si="2"/>
        <v>15</v>
      </c>
      <c r="G13" s="133">
        <v>4</v>
      </c>
      <c r="H13" s="133">
        <v>11</v>
      </c>
      <c r="I13" s="133">
        <f>J13+K13</f>
        <v>13065</v>
      </c>
      <c r="J13" s="133">
        <f>2963+1081+190+5234+2369+741</f>
        <v>12578</v>
      </c>
      <c r="K13" s="133">
        <f>453+12+22</f>
        <v>487</v>
      </c>
      <c r="L13" s="133">
        <v>3721044</v>
      </c>
      <c r="M13" s="133">
        <v>166375</v>
      </c>
      <c r="N13" s="133">
        <v>629486</v>
      </c>
    </row>
    <row r="14" spans="1:14" ht="15.75">
      <c r="A14" s="79">
        <v>4</v>
      </c>
      <c r="B14" s="80" t="s">
        <v>169</v>
      </c>
      <c r="C14" s="133">
        <f t="shared" si="1"/>
        <v>3</v>
      </c>
      <c r="D14" s="133">
        <v>3</v>
      </c>
      <c r="E14" s="257">
        <v>0</v>
      </c>
      <c r="F14" s="133">
        <f t="shared" si="2"/>
        <v>4</v>
      </c>
      <c r="G14" s="133">
        <v>4</v>
      </c>
      <c r="H14" s="133"/>
      <c r="I14" s="133">
        <v>4186</v>
      </c>
      <c r="J14" s="133">
        <f>1084+111+3+1248+896+192</f>
        <v>3534</v>
      </c>
      <c r="K14" s="133">
        <v>65</v>
      </c>
      <c r="L14" s="133">
        <v>1107122</v>
      </c>
      <c r="M14" s="133">
        <v>42900</v>
      </c>
      <c r="N14" s="133">
        <v>553561</v>
      </c>
    </row>
    <row r="15" spans="1:14" ht="15.75">
      <c r="A15" s="79">
        <v>5</v>
      </c>
      <c r="B15" s="80" t="s">
        <v>170</v>
      </c>
      <c r="C15" s="133">
        <f t="shared" si="1"/>
        <v>6</v>
      </c>
      <c r="D15" s="133">
        <v>1</v>
      </c>
      <c r="E15" s="133">
        <v>5</v>
      </c>
      <c r="F15" s="133">
        <f t="shared" si="2"/>
        <v>9</v>
      </c>
      <c r="G15" s="133">
        <v>3</v>
      </c>
      <c r="H15" s="133">
        <v>6</v>
      </c>
      <c r="I15" s="133">
        <f t="shared" si="3"/>
        <v>9431</v>
      </c>
      <c r="J15" s="133">
        <f>2551+758+172+4507+679+303</f>
        <v>8970</v>
      </c>
      <c r="K15" s="133">
        <f>425+13+23</f>
        <v>461</v>
      </c>
      <c r="L15" s="133">
        <v>2397914.9</v>
      </c>
      <c r="M15" s="133">
        <v>150343.9</v>
      </c>
      <c r="N15" s="133">
        <v>516157.8</v>
      </c>
    </row>
    <row r="16" spans="1:14" ht="15.75">
      <c r="A16" s="79">
        <v>6</v>
      </c>
      <c r="B16" s="80" t="s">
        <v>171</v>
      </c>
      <c r="C16" s="133">
        <f>D16+E16</f>
        <v>14</v>
      </c>
      <c r="D16" s="133">
        <v>3</v>
      </c>
      <c r="E16" s="133">
        <v>11</v>
      </c>
      <c r="F16" s="133">
        <f>G16+H16</f>
        <v>18</v>
      </c>
      <c r="G16" s="133">
        <v>5</v>
      </c>
      <c r="H16" s="133">
        <v>13</v>
      </c>
      <c r="I16" s="133">
        <f>J16+K16</f>
        <v>29874</v>
      </c>
      <c r="J16" s="133">
        <f>7689+2284+526+13715+2652+2375</f>
        <v>29241</v>
      </c>
      <c r="K16" s="133">
        <f>599+16+0+18</f>
        <v>633</v>
      </c>
      <c r="L16" s="133">
        <v>8741524</v>
      </c>
      <c r="M16" s="133">
        <v>92283</v>
      </c>
      <c r="N16" s="133">
        <v>1901212</v>
      </c>
    </row>
    <row r="17" spans="1:14" ht="15.75">
      <c r="A17" s="79">
        <v>7</v>
      </c>
      <c r="B17" s="80" t="s">
        <v>172</v>
      </c>
      <c r="C17" s="133">
        <f>D17+E17</f>
        <v>5</v>
      </c>
      <c r="D17" s="133">
        <v>1</v>
      </c>
      <c r="E17" s="133">
        <v>4</v>
      </c>
      <c r="F17" s="133">
        <f>G17+H17</f>
        <v>8</v>
      </c>
      <c r="G17" s="133">
        <v>4</v>
      </c>
      <c r="H17" s="133">
        <v>4</v>
      </c>
      <c r="I17" s="133">
        <v>21703</v>
      </c>
      <c r="J17" s="133"/>
      <c r="K17" s="133"/>
      <c r="L17" s="133">
        <v>4211974</v>
      </c>
      <c r="M17" s="133">
        <v>18688</v>
      </c>
      <c r="N17" s="133">
        <v>1475251</v>
      </c>
    </row>
    <row r="18" spans="1:14" ht="15.75">
      <c r="A18" s="79">
        <v>8</v>
      </c>
      <c r="B18" s="80" t="s">
        <v>173</v>
      </c>
      <c r="C18" s="133">
        <f t="shared" si="1"/>
        <v>8</v>
      </c>
      <c r="D18" s="133">
        <v>3</v>
      </c>
      <c r="E18" s="133">
        <v>5</v>
      </c>
      <c r="F18" s="133">
        <f t="shared" si="2"/>
        <v>15</v>
      </c>
      <c r="G18" s="133">
        <v>6</v>
      </c>
      <c r="H18" s="133">
        <v>9</v>
      </c>
      <c r="I18" s="133">
        <f t="shared" si="3"/>
        <v>28218</v>
      </c>
      <c r="J18" s="133">
        <f>4027+6802+409+10090+4433+1622</f>
        <v>27383</v>
      </c>
      <c r="K18" s="133">
        <f>643+76+116</f>
        <v>835</v>
      </c>
      <c r="L18" s="133">
        <v>6352178</v>
      </c>
      <c r="M18" s="133">
        <v>129130</v>
      </c>
      <c r="N18" s="133">
        <v>2324580</v>
      </c>
    </row>
    <row r="19" spans="1:14" ht="15.75">
      <c r="A19" s="79">
        <v>9</v>
      </c>
      <c r="B19" s="80" t="s">
        <v>174</v>
      </c>
      <c r="C19" s="133">
        <f t="shared" si="1"/>
        <v>13</v>
      </c>
      <c r="D19" s="133">
        <v>2</v>
      </c>
      <c r="E19" s="133">
        <v>11</v>
      </c>
      <c r="F19" s="133">
        <f t="shared" si="2"/>
        <v>25</v>
      </c>
      <c r="G19" s="133">
        <v>7</v>
      </c>
      <c r="H19" s="133">
        <v>18</v>
      </c>
      <c r="I19" s="133">
        <f t="shared" si="3"/>
        <v>73497</v>
      </c>
      <c r="J19" s="133">
        <f>28090+7499+2044+16206+14082+3580</f>
        <v>71501</v>
      </c>
      <c r="K19" s="133">
        <f>357+36+1+1602</f>
        <v>1996</v>
      </c>
      <c r="L19" s="133">
        <v>9566538</v>
      </c>
      <c r="M19" s="133">
        <f>3309299</f>
        <v>3309299</v>
      </c>
      <c r="N19" s="133">
        <f>5057313</f>
        <v>5057313</v>
      </c>
    </row>
    <row r="20" spans="1:14" ht="15.75">
      <c r="A20" s="79">
        <v>10</v>
      </c>
      <c r="B20" s="80" t="s">
        <v>175</v>
      </c>
      <c r="C20" s="133">
        <f t="shared" si="1"/>
        <v>12</v>
      </c>
      <c r="D20" s="133">
        <v>3</v>
      </c>
      <c r="E20" s="133">
        <v>9</v>
      </c>
      <c r="F20" s="133">
        <f t="shared" si="2"/>
        <v>17</v>
      </c>
      <c r="G20" s="133">
        <v>4</v>
      </c>
      <c r="H20" s="133">
        <v>13</v>
      </c>
      <c r="I20" s="133">
        <f t="shared" si="3"/>
        <v>46214</v>
      </c>
      <c r="J20" s="133">
        <v>41251</v>
      </c>
      <c r="K20" s="133">
        <f>3279+559+109+1016</f>
        <v>4963</v>
      </c>
      <c r="L20" s="133">
        <v>11062351</v>
      </c>
      <c r="M20" s="257">
        <v>0</v>
      </c>
      <c r="N20" s="133">
        <v>2307878</v>
      </c>
    </row>
    <row r="21" spans="1:14" ht="15.75">
      <c r="A21" s="79">
        <v>11</v>
      </c>
      <c r="B21" s="80" t="s">
        <v>176</v>
      </c>
      <c r="C21" s="133">
        <f t="shared" si="1"/>
        <v>6</v>
      </c>
      <c r="D21" s="133">
        <v>1</v>
      </c>
      <c r="E21" s="133">
        <v>5</v>
      </c>
      <c r="F21" s="133">
        <f t="shared" si="2"/>
        <v>9</v>
      </c>
      <c r="G21" s="133">
        <v>4</v>
      </c>
      <c r="H21" s="133">
        <v>5</v>
      </c>
      <c r="I21" s="133">
        <f t="shared" si="3"/>
        <v>18981</v>
      </c>
      <c r="J21" s="133">
        <f>4728+2501+396+5918+3490+942</f>
        <v>17975</v>
      </c>
      <c r="K21" s="133">
        <f>944+31+31</f>
        <v>1006</v>
      </c>
      <c r="L21" s="133">
        <v>3623076</v>
      </c>
      <c r="M21" s="133">
        <v>81610</v>
      </c>
      <c r="N21" s="133">
        <v>1610112</v>
      </c>
    </row>
    <row r="22" spans="1:19" ht="15.75">
      <c r="A22" s="79">
        <v>12</v>
      </c>
      <c r="B22" s="80" t="s">
        <v>177</v>
      </c>
      <c r="C22" s="133">
        <f t="shared" si="1"/>
        <v>5</v>
      </c>
      <c r="D22" s="133">
        <v>1</v>
      </c>
      <c r="E22" s="133">
        <v>4</v>
      </c>
      <c r="F22" s="133">
        <f t="shared" si="2"/>
        <v>9</v>
      </c>
      <c r="G22" s="133">
        <v>4</v>
      </c>
      <c r="H22" s="133">
        <v>5</v>
      </c>
      <c r="I22" s="133">
        <f t="shared" si="3"/>
        <v>21543</v>
      </c>
      <c r="J22" s="133">
        <f>8218+4222+720+5480+1919+352</f>
        <v>20911</v>
      </c>
      <c r="K22" s="133">
        <f>470+47+115</f>
        <v>632</v>
      </c>
      <c r="L22" s="133">
        <v>4351552</v>
      </c>
      <c r="M22" s="133">
        <v>339395</v>
      </c>
      <c r="N22" s="133">
        <v>1229228</v>
      </c>
      <c r="S22" s="14">
        <v>1891525215</v>
      </c>
    </row>
    <row r="23" spans="1:19" ht="15.75">
      <c r="A23" s="79">
        <v>13</v>
      </c>
      <c r="B23" s="80" t="s">
        <v>178</v>
      </c>
      <c r="C23" s="133">
        <f t="shared" si="1"/>
        <v>15</v>
      </c>
      <c r="D23" s="133">
        <v>2</v>
      </c>
      <c r="E23" s="133">
        <v>13</v>
      </c>
      <c r="F23" s="133">
        <f t="shared" si="2"/>
        <v>27</v>
      </c>
      <c r="G23" s="133">
        <v>10</v>
      </c>
      <c r="H23" s="133">
        <v>17</v>
      </c>
      <c r="I23" s="133">
        <f t="shared" si="3"/>
        <v>58844</v>
      </c>
      <c r="J23" s="133">
        <f>14918+1599+13647+7678+4090+12813</f>
        <v>54745</v>
      </c>
      <c r="K23" s="133">
        <f>3227+33+839</f>
        <v>4099</v>
      </c>
      <c r="L23" s="167">
        <v>12450257</v>
      </c>
      <c r="M23" s="167">
        <v>1623214</v>
      </c>
      <c r="N23" s="167">
        <v>3909188</v>
      </c>
      <c r="S23" s="14">
        <v>22925000</v>
      </c>
    </row>
    <row r="24" spans="1:19" ht="15.75">
      <c r="A24" s="79">
        <v>14</v>
      </c>
      <c r="B24" s="80" t="s">
        <v>179</v>
      </c>
      <c r="C24" s="133">
        <f t="shared" si="1"/>
        <v>3</v>
      </c>
      <c r="D24" s="133">
        <v>1</v>
      </c>
      <c r="E24" s="133">
        <v>2</v>
      </c>
      <c r="F24" s="133">
        <f t="shared" si="2"/>
        <v>5</v>
      </c>
      <c r="G24" s="133">
        <v>3</v>
      </c>
      <c r="H24" s="133">
        <v>2</v>
      </c>
      <c r="I24" s="133">
        <f t="shared" si="3"/>
        <v>1465</v>
      </c>
      <c r="J24" s="133">
        <v>1367</v>
      </c>
      <c r="K24" s="133">
        <v>98</v>
      </c>
      <c r="L24" s="133">
        <v>676463</v>
      </c>
      <c r="M24" s="257">
        <v>0</v>
      </c>
      <c r="N24" s="133">
        <v>148776</v>
      </c>
      <c r="S24" s="14">
        <v>631600000</v>
      </c>
    </row>
    <row r="25" spans="1:19" ht="15.75">
      <c r="A25" s="79">
        <v>15</v>
      </c>
      <c r="B25" s="80" t="s">
        <v>180</v>
      </c>
      <c r="C25" s="133">
        <f t="shared" si="1"/>
        <v>12</v>
      </c>
      <c r="D25" s="133">
        <v>3</v>
      </c>
      <c r="E25" s="133">
        <v>9</v>
      </c>
      <c r="F25" s="133">
        <f t="shared" si="2"/>
        <v>32</v>
      </c>
      <c r="G25" s="133">
        <v>18</v>
      </c>
      <c r="H25" s="133">
        <v>14</v>
      </c>
      <c r="I25" s="133">
        <f t="shared" si="3"/>
        <v>60000</v>
      </c>
      <c r="J25" s="133">
        <f>20899+4196+2566+19519+5975+4096</f>
        <v>57251</v>
      </c>
      <c r="K25" s="133">
        <f>2201+10+538</f>
        <v>2749</v>
      </c>
      <c r="L25" s="133">
        <v>20402846</v>
      </c>
      <c r="M25" s="133">
        <v>2901449</v>
      </c>
      <c r="N25" s="133">
        <v>7194705</v>
      </c>
      <c r="R25" s="14" t="s">
        <v>273</v>
      </c>
      <c r="S25" s="230">
        <f>SUM(S22:S24)</f>
        <v>2546050215</v>
      </c>
    </row>
    <row r="26" spans="1:14" ht="15.75">
      <c r="A26" s="79">
        <v>16</v>
      </c>
      <c r="B26" s="80" t="s">
        <v>181</v>
      </c>
      <c r="C26" s="133">
        <f t="shared" si="1"/>
        <v>11</v>
      </c>
      <c r="D26" s="133">
        <v>3</v>
      </c>
      <c r="E26" s="133">
        <v>8</v>
      </c>
      <c r="F26" s="133">
        <f t="shared" si="2"/>
        <v>15</v>
      </c>
      <c r="G26" s="133">
        <v>5</v>
      </c>
      <c r="H26" s="133">
        <v>10</v>
      </c>
      <c r="I26" s="133">
        <f t="shared" si="3"/>
        <v>48826</v>
      </c>
      <c r="J26" s="133">
        <f>11451+5850+823+25501+2368+817</f>
        <v>46810</v>
      </c>
      <c r="K26" s="133">
        <f>1379+226+100+311</f>
        <v>2016</v>
      </c>
      <c r="L26" s="133">
        <v>9698749</v>
      </c>
      <c r="M26" s="133">
        <v>451029</v>
      </c>
      <c r="N26" s="133">
        <v>2428550</v>
      </c>
    </row>
    <row r="27" spans="1:14" ht="15.75">
      <c r="A27" s="79">
        <v>17</v>
      </c>
      <c r="B27" s="80" t="s">
        <v>182</v>
      </c>
      <c r="C27" s="133">
        <f t="shared" si="1"/>
        <v>5</v>
      </c>
      <c r="D27" s="133">
        <v>2</v>
      </c>
      <c r="E27" s="133">
        <v>3</v>
      </c>
      <c r="F27" s="133">
        <f t="shared" si="2"/>
        <v>8</v>
      </c>
      <c r="G27" s="133">
        <v>5</v>
      </c>
      <c r="H27" s="133">
        <v>3</v>
      </c>
      <c r="I27" s="133">
        <f t="shared" si="3"/>
        <v>8903</v>
      </c>
      <c r="J27" s="133">
        <v>8679</v>
      </c>
      <c r="K27" s="133">
        <v>224</v>
      </c>
      <c r="L27" s="133">
        <v>1818005</v>
      </c>
      <c r="M27" s="257">
        <v>0</v>
      </c>
      <c r="N27" s="133">
        <v>909002</v>
      </c>
    </row>
    <row r="28" spans="1:14" ht="15.75">
      <c r="A28" s="79">
        <v>18</v>
      </c>
      <c r="B28" s="80" t="s">
        <v>183</v>
      </c>
      <c r="C28" s="133">
        <f t="shared" si="1"/>
        <v>3</v>
      </c>
      <c r="D28" s="133">
        <v>1</v>
      </c>
      <c r="E28" s="133">
        <v>2</v>
      </c>
      <c r="F28" s="133">
        <f t="shared" si="2"/>
        <v>5</v>
      </c>
      <c r="G28" s="133">
        <v>3</v>
      </c>
      <c r="H28" s="133">
        <v>2</v>
      </c>
      <c r="I28" s="133">
        <f t="shared" si="3"/>
        <v>3899</v>
      </c>
      <c r="J28" s="133">
        <f>731+94+11+1973+547+503</f>
        <v>3859</v>
      </c>
      <c r="K28" s="133">
        <f>22+18</f>
        <v>40</v>
      </c>
      <c r="L28" s="133">
        <v>1472748</v>
      </c>
      <c r="M28" s="133">
        <v>12772</v>
      </c>
      <c r="N28" s="133">
        <v>424286</v>
      </c>
    </row>
    <row r="29" spans="1:14" ht="15.75">
      <c r="A29" s="79">
        <v>19</v>
      </c>
      <c r="B29" s="81" t="s">
        <v>201</v>
      </c>
      <c r="C29" s="133">
        <f t="shared" si="1"/>
        <v>24</v>
      </c>
      <c r="D29" s="133">
        <v>4</v>
      </c>
      <c r="E29" s="133">
        <v>20</v>
      </c>
      <c r="F29" s="133">
        <f t="shared" si="2"/>
        <v>39</v>
      </c>
      <c r="G29" s="133">
        <v>13</v>
      </c>
      <c r="H29" s="133">
        <v>26</v>
      </c>
      <c r="I29" s="133">
        <f t="shared" si="3"/>
        <v>92838</v>
      </c>
      <c r="J29" s="133">
        <f>30707+8887+3057+27776+9865+7069</f>
        <v>87361</v>
      </c>
      <c r="K29" s="133">
        <f>5067+64+4+342</f>
        <v>5477</v>
      </c>
      <c r="L29" s="133">
        <v>25365875</v>
      </c>
      <c r="M29" s="133">
        <v>2903982</v>
      </c>
      <c r="N29" s="133">
        <v>5491645</v>
      </c>
    </row>
    <row r="30" spans="1:14" ht="15.75">
      <c r="A30" s="79">
        <v>20</v>
      </c>
      <c r="B30" s="81" t="s">
        <v>202</v>
      </c>
      <c r="C30" s="133">
        <f t="shared" si="1"/>
        <v>8</v>
      </c>
      <c r="D30" s="133">
        <v>3</v>
      </c>
      <c r="E30" s="133">
        <v>5</v>
      </c>
      <c r="F30" s="133">
        <f t="shared" si="2"/>
        <v>17</v>
      </c>
      <c r="G30" s="133">
        <v>8</v>
      </c>
      <c r="H30" s="133">
        <v>9</v>
      </c>
      <c r="I30" s="133">
        <f t="shared" si="3"/>
        <v>46909</v>
      </c>
      <c r="J30" s="133">
        <f>9602+12585+510+14242+3993+3170</f>
        <v>44102</v>
      </c>
      <c r="K30" s="133">
        <f>1439+82+1286</f>
        <v>2807</v>
      </c>
      <c r="L30" s="133">
        <f>8369285</f>
        <v>8369285</v>
      </c>
      <c r="M30" s="133">
        <f>675283</f>
        <v>675283</v>
      </c>
      <c r="N30" s="133">
        <v>3027130</v>
      </c>
    </row>
    <row r="31" spans="1:14" ht="15.75">
      <c r="A31" s="79">
        <v>21</v>
      </c>
      <c r="B31" s="81" t="s">
        <v>203</v>
      </c>
      <c r="C31" s="133">
        <f t="shared" si="1"/>
        <v>8</v>
      </c>
      <c r="D31" s="133">
        <v>3</v>
      </c>
      <c r="E31" s="133">
        <v>5</v>
      </c>
      <c r="F31" s="133">
        <f t="shared" si="2"/>
        <v>15</v>
      </c>
      <c r="G31" s="133">
        <v>8</v>
      </c>
      <c r="H31" s="133">
        <v>7</v>
      </c>
      <c r="I31" s="133">
        <f t="shared" si="3"/>
        <v>37163</v>
      </c>
      <c r="J31" s="133">
        <f>10098+1588+711+19500+2943+1355</f>
        <v>36195</v>
      </c>
      <c r="K31" s="133">
        <f>799+102+67</f>
        <v>968</v>
      </c>
      <c r="L31" s="133">
        <f>9408521</f>
        <v>9408521</v>
      </c>
      <c r="M31" s="133">
        <v>329721</v>
      </c>
      <c r="N31" s="133">
        <v>3100244</v>
      </c>
    </row>
    <row r="32" spans="1:14" ht="15.75">
      <c r="A32" s="79">
        <v>22</v>
      </c>
      <c r="B32" s="81" t="s">
        <v>204</v>
      </c>
      <c r="C32" s="133">
        <f t="shared" si="1"/>
        <v>4</v>
      </c>
      <c r="D32" s="133">
        <v>1</v>
      </c>
      <c r="E32" s="133">
        <v>3</v>
      </c>
      <c r="F32" s="133">
        <f t="shared" si="2"/>
        <v>4</v>
      </c>
      <c r="G32" s="133">
        <v>1</v>
      </c>
      <c r="H32" s="133">
        <v>3</v>
      </c>
      <c r="I32" s="133">
        <f t="shared" si="3"/>
        <v>5079</v>
      </c>
      <c r="J32" s="133">
        <f>2344+69+147+1922+138+294</f>
        <v>4914</v>
      </c>
      <c r="K32" s="133">
        <f>133+3+29</f>
        <v>165</v>
      </c>
      <c r="L32" s="133">
        <v>1338215</v>
      </c>
      <c r="M32" s="133">
        <v>57620</v>
      </c>
      <c r="N32" s="133">
        <v>443764</v>
      </c>
    </row>
    <row r="33" spans="1:14" ht="15.75">
      <c r="A33" s="79">
        <v>23</v>
      </c>
      <c r="B33" s="81" t="s">
        <v>205</v>
      </c>
      <c r="C33" s="133">
        <f t="shared" si="1"/>
        <v>8</v>
      </c>
      <c r="D33" s="133">
        <v>4</v>
      </c>
      <c r="E33" s="133">
        <v>4</v>
      </c>
      <c r="F33" s="133">
        <f>G33+H33</f>
        <v>11</v>
      </c>
      <c r="G33" s="133">
        <v>6</v>
      </c>
      <c r="H33" s="133">
        <v>5</v>
      </c>
      <c r="I33" s="133">
        <f t="shared" si="3"/>
        <v>12485</v>
      </c>
      <c r="J33" s="133">
        <f>2800+541+151+3849+3177+995</f>
        <v>11513</v>
      </c>
      <c r="K33" s="133">
        <f>848+3+121</f>
        <v>972</v>
      </c>
      <c r="L33" s="133">
        <v>2368686</v>
      </c>
      <c r="M33" s="133">
        <v>4158</v>
      </c>
      <c r="N33" s="133">
        <v>672963</v>
      </c>
    </row>
    <row r="34" spans="1:14" ht="15.75">
      <c r="A34" s="79">
        <v>24</v>
      </c>
      <c r="B34" s="81" t="s">
        <v>206</v>
      </c>
      <c r="C34" s="133">
        <f t="shared" si="1"/>
        <v>103</v>
      </c>
      <c r="D34" s="133">
        <v>10</v>
      </c>
      <c r="E34" s="133">
        <v>93</v>
      </c>
      <c r="F34" s="133">
        <f>G34+H34</f>
        <v>315</v>
      </c>
      <c r="G34" s="133">
        <v>69</v>
      </c>
      <c r="H34" s="133">
        <v>246</v>
      </c>
      <c r="I34" s="133">
        <v>217306</v>
      </c>
      <c r="J34" s="133"/>
      <c r="K34" s="133"/>
      <c r="L34" s="133">
        <v>101200000</v>
      </c>
      <c r="M34" s="133">
        <v>24800000</v>
      </c>
      <c r="N34" s="133">
        <v>20300000</v>
      </c>
    </row>
    <row r="35" spans="1:14" ht="15.75">
      <c r="A35" s="79">
        <v>25</v>
      </c>
      <c r="B35" s="81" t="s">
        <v>207</v>
      </c>
      <c r="C35" s="133">
        <f t="shared" si="1"/>
        <v>7</v>
      </c>
      <c r="D35" s="133">
        <v>2</v>
      </c>
      <c r="E35" s="133">
        <v>5</v>
      </c>
      <c r="F35" s="133">
        <f t="shared" si="2"/>
        <v>11</v>
      </c>
      <c r="G35" s="133">
        <v>4</v>
      </c>
      <c r="H35" s="133">
        <v>7</v>
      </c>
      <c r="I35" s="133">
        <f t="shared" si="3"/>
        <v>7448</v>
      </c>
      <c r="J35" s="133">
        <f>1462+154+96+4242+1056+369</f>
        <v>7379</v>
      </c>
      <c r="K35" s="133">
        <f>66+3</f>
        <v>69</v>
      </c>
      <c r="L35" s="134">
        <v>2343094</v>
      </c>
      <c r="M35" s="133">
        <v>11060</v>
      </c>
      <c r="N35" s="133">
        <v>489676.447</v>
      </c>
    </row>
    <row r="36" spans="1:14" ht="15.75">
      <c r="A36" s="79">
        <v>26</v>
      </c>
      <c r="B36" s="81" t="s">
        <v>208</v>
      </c>
      <c r="C36" s="133">
        <f t="shared" si="1"/>
        <v>17</v>
      </c>
      <c r="D36" s="133">
        <v>2</v>
      </c>
      <c r="E36" s="133">
        <v>15</v>
      </c>
      <c r="F36" s="133">
        <f t="shared" si="2"/>
        <v>28</v>
      </c>
      <c r="G36" s="133">
        <v>10</v>
      </c>
      <c r="H36" s="133">
        <v>18</v>
      </c>
      <c r="I36" s="133">
        <f t="shared" si="3"/>
        <v>49174</v>
      </c>
      <c r="J36" s="133">
        <f>13698+2658+308+24806+2696+2794</f>
        <v>46960</v>
      </c>
      <c r="K36" s="133">
        <f>2188+4+22</f>
        <v>2214</v>
      </c>
      <c r="L36" s="133">
        <v>13159477</v>
      </c>
      <c r="M36" s="133">
        <v>320010</v>
      </c>
      <c r="N36" s="133">
        <v>3311292</v>
      </c>
    </row>
    <row r="37" spans="1:14" ht="15.75">
      <c r="A37" s="79">
        <v>27</v>
      </c>
      <c r="B37" s="81" t="s">
        <v>209</v>
      </c>
      <c r="C37" s="133">
        <f t="shared" si="1"/>
        <v>18</v>
      </c>
      <c r="D37" s="133">
        <v>5</v>
      </c>
      <c r="E37" s="133">
        <v>13</v>
      </c>
      <c r="F37" s="133">
        <f t="shared" si="2"/>
        <v>40</v>
      </c>
      <c r="G37" s="133">
        <v>18</v>
      </c>
      <c r="H37" s="133">
        <v>22</v>
      </c>
      <c r="I37" s="133">
        <f t="shared" si="3"/>
        <v>50239</v>
      </c>
      <c r="J37" s="133">
        <f>11982+10930+780+14400+4765+5491</f>
        <v>48348</v>
      </c>
      <c r="K37" s="133">
        <f>18+1476+397</f>
        <v>1891</v>
      </c>
      <c r="L37" s="133">
        <v>13055558</v>
      </c>
      <c r="M37" s="134">
        <v>824025</v>
      </c>
      <c r="N37" s="133">
        <v>3653736</v>
      </c>
    </row>
    <row r="38" spans="1:14" ht="15.75">
      <c r="A38" s="79">
        <v>28</v>
      </c>
      <c r="B38" s="81" t="s">
        <v>210</v>
      </c>
      <c r="C38" s="133">
        <f t="shared" si="1"/>
        <v>5</v>
      </c>
      <c r="D38" s="133">
        <v>1</v>
      </c>
      <c r="E38" s="133">
        <v>4</v>
      </c>
      <c r="F38" s="133">
        <f t="shared" si="2"/>
        <v>9</v>
      </c>
      <c r="G38" s="133">
        <v>4</v>
      </c>
      <c r="H38" s="133">
        <v>5</v>
      </c>
      <c r="I38" s="133">
        <f t="shared" si="3"/>
        <v>9270</v>
      </c>
      <c r="J38" s="133">
        <f>3106+2161+176+2228+569+417</f>
        <v>8657</v>
      </c>
      <c r="K38" s="133">
        <f>595+3+2+13</f>
        <v>613</v>
      </c>
      <c r="L38" s="133">
        <v>2193756</v>
      </c>
      <c r="M38" s="133">
        <v>286812</v>
      </c>
      <c r="N38" s="133">
        <v>702445</v>
      </c>
    </row>
    <row r="39" spans="1:14" ht="15.75">
      <c r="A39" s="79">
        <v>29</v>
      </c>
      <c r="B39" s="81" t="s">
        <v>211</v>
      </c>
      <c r="C39" s="133">
        <f t="shared" si="1"/>
        <v>5</v>
      </c>
      <c r="D39" s="133">
        <v>2</v>
      </c>
      <c r="E39" s="133">
        <v>3</v>
      </c>
      <c r="F39" s="133">
        <f t="shared" si="2"/>
        <v>6</v>
      </c>
      <c r="G39" s="133">
        <v>3</v>
      </c>
      <c r="H39" s="133">
        <v>3</v>
      </c>
      <c r="I39" s="133">
        <f t="shared" si="3"/>
        <v>7343</v>
      </c>
      <c r="J39" s="133">
        <f>2024+839+498+1791+986+797</f>
        <v>6935</v>
      </c>
      <c r="K39" s="133">
        <f>375+1+32</f>
        <v>408</v>
      </c>
      <c r="L39" s="133">
        <v>1620254</v>
      </c>
      <c r="M39" s="133">
        <v>59915</v>
      </c>
      <c r="N39" s="133">
        <v>563015</v>
      </c>
    </row>
    <row r="40" spans="1:14" ht="15.75">
      <c r="A40" s="79">
        <v>30</v>
      </c>
      <c r="B40" s="81" t="s">
        <v>212</v>
      </c>
      <c r="C40" s="133">
        <f t="shared" si="1"/>
        <v>11</v>
      </c>
      <c r="D40" s="133">
        <v>2</v>
      </c>
      <c r="E40" s="133">
        <v>9</v>
      </c>
      <c r="F40" s="133">
        <f t="shared" si="2"/>
        <v>15</v>
      </c>
      <c r="G40" s="133">
        <v>3</v>
      </c>
      <c r="H40" s="133">
        <v>12</v>
      </c>
      <c r="I40" s="133">
        <f t="shared" si="3"/>
        <v>18875</v>
      </c>
      <c r="J40" s="133">
        <f>3801+924+92+9404+3512+237</f>
        <v>17970</v>
      </c>
      <c r="K40" s="133">
        <f>886+2+3+14</f>
        <v>905</v>
      </c>
      <c r="L40" s="133">
        <v>5185311</v>
      </c>
      <c r="M40" s="133">
        <v>22000</v>
      </c>
      <c r="N40" s="133">
        <v>730650</v>
      </c>
    </row>
    <row r="41" spans="1:14" ht="15.75">
      <c r="A41" s="79">
        <v>31</v>
      </c>
      <c r="B41" s="81" t="s">
        <v>213</v>
      </c>
      <c r="C41" s="133">
        <f t="shared" si="1"/>
        <v>9</v>
      </c>
      <c r="D41" s="133">
        <v>1</v>
      </c>
      <c r="E41" s="133">
        <v>8</v>
      </c>
      <c r="F41" s="133">
        <f t="shared" si="2"/>
        <v>15</v>
      </c>
      <c r="G41" s="133">
        <v>5</v>
      </c>
      <c r="H41" s="133">
        <v>10</v>
      </c>
      <c r="I41" s="133">
        <f t="shared" si="3"/>
        <v>46819</v>
      </c>
      <c r="J41" s="133">
        <f>7186+9141+912+14074+7810+4912</f>
        <v>44035</v>
      </c>
      <c r="K41" s="133">
        <f>2323+185+276</f>
        <v>2784</v>
      </c>
      <c r="L41" s="133">
        <v>10211060</v>
      </c>
      <c r="M41" s="133">
        <v>501656</v>
      </c>
      <c r="N41" s="133">
        <v>2775044</v>
      </c>
    </row>
    <row r="42" spans="1:14" ht="15.75">
      <c r="A42" s="79">
        <v>32</v>
      </c>
      <c r="B42" s="81" t="s">
        <v>214</v>
      </c>
      <c r="C42" s="133">
        <f t="shared" si="1"/>
        <v>10</v>
      </c>
      <c r="D42" s="133">
        <v>2</v>
      </c>
      <c r="E42" s="133">
        <v>8</v>
      </c>
      <c r="F42" s="133">
        <f t="shared" si="2"/>
        <v>15</v>
      </c>
      <c r="G42" s="133">
        <v>6</v>
      </c>
      <c r="H42" s="133">
        <v>9</v>
      </c>
      <c r="I42" s="133">
        <f t="shared" si="3"/>
        <v>36663</v>
      </c>
      <c r="J42" s="133">
        <f>9247+1458+465+21273+2525+1019</f>
        <v>35987</v>
      </c>
      <c r="K42" s="133">
        <f>487+78+111</f>
        <v>676</v>
      </c>
      <c r="L42" s="133">
        <v>9930733</v>
      </c>
      <c r="M42" s="133">
        <v>366636</v>
      </c>
      <c r="N42" s="133">
        <v>2611268</v>
      </c>
    </row>
    <row r="43" spans="1:14" ht="15.75">
      <c r="A43" s="79">
        <v>33</v>
      </c>
      <c r="B43" s="81" t="s">
        <v>215</v>
      </c>
      <c r="C43" s="133">
        <f t="shared" si="1"/>
        <v>4</v>
      </c>
      <c r="D43" s="133">
        <v>2</v>
      </c>
      <c r="E43" s="133">
        <v>2</v>
      </c>
      <c r="F43" s="133">
        <f t="shared" si="2"/>
        <v>4</v>
      </c>
      <c r="G43" s="133">
        <v>2</v>
      </c>
      <c r="H43" s="133">
        <v>2</v>
      </c>
      <c r="I43" s="133">
        <f t="shared" si="3"/>
        <v>8988</v>
      </c>
      <c r="J43" s="133">
        <f>2456+886+49+4998+220+181</f>
        <v>8790</v>
      </c>
      <c r="K43" s="133">
        <f>114+50+0+34</f>
        <v>198</v>
      </c>
      <c r="L43" s="133">
        <v>2471123</v>
      </c>
      <c r="M43" s="133">
        <v>66645</v>
      </c>
      <c r="N43" s="133">
        <v>1189274</v>
      </c>
    </row>
    <row r="44" spans="1:14" ht="15.75">
      <c r="A44" s="79">
        <v>34</v>
      </c>
      <c r="B44" s="81" t="s">
        <v>216</v>
      </c>
      <c r="C44" s="133">
        <f t="shared" si="1"/>
        <v>1</v>
      </c>
      <c r="D44" s="133">
        <v>1</v>
      </c>
      <c r="E44" s="133"/>
      <c r="F44" s="133">
        <f t="shared" si="2"/>
        <v>2</v>
      </c>
      <c r="G44" s="133">
        <v>2</v>
      </c>
      <c r="H44" s="133"/>
      <c r="I44" s="133">
        <f t="shared" si="3"/>
        <v>1919</v>
      </c>
      <c r="J44" s="133">
        <f>594+75+4+1095+90+48</f>
        <v>1906</v>
      </c>
      <c r="K44" s="133">
        <f>12+0+1+0</f>
        <v>13</v>
      </c>
      <c r="L44" s="133">
        <v>797309</v>
      </c>
      <c r="M44" s="133"/>
      <c r="N44" s="133">
        <v>398654</v>
      </c>
    </row>
    <row r="45" spans="1:14" ht="15.75">
      <c r="A45" s="79">
        <v>35</v>
      </c>
      <c r="B45" s="81" t="s">
        <v>217</v>
      </c>
      <c r="C45" s="133">
        <f t="shared" si="1"/>
        <v>18</v>
      </c>
      <c r="D45" s="133">
        <v>4</v>
      </c>
      <c r="E45" s="133">
        <v>14</v>
      </c>
      <c r="F45" s="133">
        <f t="shared" si="2"/>
        <v>35</v>
      </c>
      <c r="G45" s="133">
        <v>10</v>
      </c>
      <c r="H45" s="133">
        <v>25</v>
      </c>
      <c r="I45" s="133">
        <f t="shared" si="3"/>
        <v>64779</v>
      </c>
      <c r="J45" s="133">
        <f>14548+1081+721+36915+6064+2604</f>
        <v>61933</v>
      </c>
      <c r="K45" s="133">
        <f>1729+394+0+723</f>
        <v>2846</v>
      </c>
      <c r="L45" s="133">
        <v>15094548</v>
      </c>
      <c r="M45" s="133">
        <v>802593</v>
      </c>
      <c r="N45" s="133">
        <v>3048748</v>
      </c>
    </row>
    <row r="46" spans="1:14" ht="15.75">
      <c r="A46" s="79">
        <v>36</v>
      </c>
      <c r="B46" s="82" t="s">
        <v>218</v>
      </c>
      <c r="C46" s="133">
        <f t="shared" si="1"/>
        <v>3</v>
      </c>
      <c r="D46" s="133">
        <v>1</v>
      </c>
      <c r="E46" s="133">
        <v>2</v>
      </c>
      <c r="F46" s="133">
        <f t="shared" si="2"/>
        <v>5</v>
      </c>
      <c r="G46" s="133">
        <v>3</v>
      </c>
      <c r="H46" s="133">
        <v>2</v>
      </c>
      <c r="I46" s="133">
        <f t="shared" si="3"/>
        <v>6257</v>
      </c>
      <c r="J46" s="133">
        <f>2085+701+98+2133+416+532</f>
        <v>5965</v>
      </c>
      <c r="K46" s="133">
        <f>288+0+0+4</f>
        <v>292</v>
      </c>
      <c r="L46" s="133">
        <v>2113854</v>
      </c>
      <c r="M46" s="133">
        <v>23190</v>
      </c>
      <c r="N46" s="133">
        <v>842586</v>
      </c>
    </row>
    <row r="47" spans="1:14" ht="15.75">
      <c r="A47" s="79">
        <v>37</v>
      </c>
      <c r="B47" s="82" t="s">
        <v>219</v>
      </c>
      <c r="C47" s="133">
        <f t="shared" si="1"/>
        <v>6</v>
      </c>
      <c r="D47" s="133">
        <v>1</v>
      </c>
      <c r="E47" s="133">
        <v>5</v>
      </c>
      <c r="F47" s="133">
        <f t="shared" si="2"/>
        <v>7</v>
      </c>
      <c r="G47" s="133">
        <v>1</v>
      </c>
      <c r="H47" s="133">
        <v>6</v>
      </c>
      <c r="I47" s="133">
        <f t="shared" si="3"/>
        <v>8755</v>
      </c>
      <c r="J47" s="133">
        <f>1862+205+249+3483+1550+1169</f>
        <v>8518</v>
      </c>
      <c r="K47" s="133">
        <f>227+0+0+10</f>
        <v>237</v>
      </c>
      <c r="L47" s="133">
        <v>2892995</v>
      </c>
      <c r="M47" s="133">
        <v>222732</v>
      </c>
      <c r="N47" s="133">
        <v>621715</v>
      </c>
    </row>
    <row r="48" spans="1:14" ht="15.75">
      <c r="A48" s="79">
        <v>38</v>
      </c>
      <c r="B48" s="82" t="s">
        <v>220</v>
      </c>
      <c r="C48" s="133">
        <f t="shared" si="1"/>
        <v>26</v>
      </c>
      <c r="D48" s="133">
        <v>4</v>
      </c>
      <c r="E48" s="133">
        <v>22</v>
      </c>
      <c r="F48" s="133">
        <f t="shared" si="2"/>
        <v>36</v>
      </c>
      <c r="G48" s="133">
        <v>10</v>
      </c>
      <c r="H48" s="133">
        <v>26</v>
      </c>
      <c r="I48" s="133">
        <f t="shared" si="3"/>
        <v>103961</v>
      </c>
      <c r="J48" s="133">
        <f>34750+8840+1777+43726+7723+3173</f>
        <v>99989</v>
      </c>
      <c r="K48" s="133">
        <f>3455+154+5+358</f>
        <v>3972</v>
      </c>
      <c r="L48" s="133">
        <v>19184378</v>
      </c>
      <c r="M48" s="133">
        <v>1322730</v>
      </c>
      <c r="N48" s="133">
        <v>5374646</v>
      </c>
    </row>
    <row r="49" spans="1:14" ht="15.75">
      <c r="A49" s="79">
        <v>39</v>
      </c>
      <c r="B49" s="82" t="s">
        <v>221</v>
      </c>
      <c r="C49" s="133">
        <f t="shared" si="1"/>
        <v>10</v>
      </c>
      <c r="D49" s="133">
        <v>1</v>
      </c>
      <c r="E49" s="133">
        <v>9</v>
      </c>
      <c r="F49" s="133">
        <f t="shared" si="2"/>
        <v>14</v>
      </c>
      <c r="G49" s="133">
        <v>2</v>
      </c>
      <c r="H49" s="133">
        <v>12</v>
      </c>
      <c r="I49" s="133">
        <f t="shared" si="3"/>
        <v>11028</v>
      </c>
      <c r="J49" s="133">
        <f>4439+103+234+4292+1149+159</f>
        <v>10376</v>
      </c>
      <c r="K49" s="133">
        <f>632+20+0+0</f>
        <v>652</v>
      </c>
      <c r="L49" s="133">
        <v>3101737</v>
      </c>
      <c r="M49" s="133"/>
      <c r="N49" s="133">
        <v>753086</v>
      </c>
    </row>
    <row r="50" spans="1:14" ht="15.75">
      <c r="A50" s="79">
        <v>40</v>
      </c>
      <c r="B50" s="82" t="s">
        <v>222</v>
      </c>
      <c r="C50" s="133">
        <f t="shared" si="1"/>
        <v>24</v>
      </c>
      <c r="D50" s="133">
        <v>2</v>
      </c>
      <c r="E50" s="133">
        <v>22</v>
      </c>
      <c r="F50" s="133">
        <f t="shared" si="2"/>
        <v>31</v>
      </c>
      <c r="G50" s="133">
        <v>5</v>
      </c>
      <c r="H50" s="133">
        <v>26</v>
      </c>
      <c r="I50" s="133">
        <f t="shared" si="3"/>
        <v>33903</v>
      </c>
      <c r="J50" s="133">
        <f>7565+4265+806+14087+3833+1646</f>
        <v>32202</v>
      </c>
      <c r="K50" s="133">
        <f>1493+84+44+80</f>
        <v>1701</v>
      </c>
      <c r="L50" s="133">
        <v>8550941</v>
      </c>
      <c r="M50" s="133">
        <v>131980</v>
      </c>
      <c r="N50" s="133">
        <v>2764873</v>
      </c>
    </row>
    <row r="51" spans="1:14" ht="15.75">
      <c r="A51" s="79">
        <v>41</v>
      </c>
      <c r="B51" s="82" t="s">
        <v>223</v>
      </c>
      <c r="C51" s="133">
        <f t="shared" si="1"/>
        <v>7</v>
      </c>
      <c r="D51" s="133">
        <v>2</v>
      </c>
      <c r="E51" s="133">
        <v>5</v>
      </c>
      <c r="F51" s="133">
        <f t="shared" si="2"/>
        <v>11</v>
      </c>
      <c r="G51" s="133">
        <v>4</v>
      </c>
      <c r="H51" s="133">
        <v>7</v>
      </c>
      <c r="I51" s="133">
        <f t="shared" si="3"/>
        <v>6609</v>
      </c>
      <c r="J51" s="133">
        <f>45+205+88+5968+210+36</f>
        <v>6552</v>
      </c>
      <c r="K51" s="133">
        <f>31+24+2+0</f>
        <v>57</v>
      </c>
      <c r="L51" s="133">
        <v>2773712</v>
      </c>
      <c r="M51" s="133">
        <v>4000</v>
      </c>
      <c r="N51" s="133">
        <v>267995</v>
      </c>
    </row>
    <row r="52" spans="1:14" ht="15.75">
      <c r="A52" s="79">
        <v>42</v>
      </c>
      <c r="B52" s="82" t="s">
        <v>224</v>
      </c>
      <c r="C52" s="133">
        <f t="shared" si="1"/>
        <v>5</v>
      </c>
      <c r="D52" s="133">
        <v>1</v>
      </c>
      <c r="E52" s="133">
        <v>4</v>
      </c>
      <c r="F52" s="133">
        <f t="shared" si="2"/>
        <v>7</v>
      </c>
      <c r="G52" s="133">
        <v>2</v>
      </c>
      <c r="H52" s="133">
        <v>5</v>
      </c>
      <c r="I52" s="133">
        <f t="shared" si="3"/>
        <v>15447</v>
      </c>
      <c r="J52" s="133">
        <f>5119+922+211+6335+1459+493</f>
        <v>14539</v>
      </c>
      <c r="K52" s="133">
        <f>854+4+4+46</f>
        <v>908</v>
      </c>
      <c r="L52" s="133">
        <v>2582280</v>
      </c>
      <c r="M52" s="133">
        <v>43798</v>
      </c>
      <c r="N52" s="133">
        <v>501258</v>
      </c>
    </row>
    <row r="53" spans="1:14" ht="15.75">
      <c r="A53" s="79">
        <v>43</v>
      </c>
      <c r="B53" s="82" t="s">
        <v>225</v>
      </c>
      <c r="C53" s="133">
        <f t="shared" si="1"/>
        <v>15</v>
      </c>
      <c r="D53" s="133">
        <v>2</v>
      </c>
      <c r="E53" s="133">
        <v>13</v>
      </c>
      <c r="F53" s="133">
        <f t="shared" si="2"/>
        <v>19</v>
      </c>
      <c r="G53" s="133">
        <v>5</v>
      </c>
      <c r="H53" s="133">
        <v>14</v>
      </c>
      <c r="I53" s="133">
        <f t="shared" si="3"/>
        <v>19172</v>
      </c>
      <c r="J53" s="133">
        <f>3810+1043+161+6904+4188+2450</f>
        <v>18556</v>
      </c>
      <c r="K53" s="133">
        <f>461+8+1+146</f>
        <v>616</v>
      </c>
      <c r="L53" s="133">
        <v>3310080</v>
      </c>
      <c r="M53" s="133">
        <v>283183</v>
      </c>
      <c r="N53" s="133">
        <v>574458</v>
      </c>
    </row>
    <row r="54" spans="1:14" ht="15.75">
      <c r="A54" s="79">
        <v>44</v>
      </c>
      <c r="B54" s="82" t="s">
        <v>226</v>
      </c>
      <c r="C54" s="133">
        <f t="shared" si="1"/>
        <v>6</v>
      </c>
      <c r="D54" s="133">
        <v>1</v>
      </c>
      <c r="E54" s="133">
        <v>5</v>
      </c>
      <c r="F54" s="133">
        <f t="shared" si="2"/>
        <v>7</v>
      </c>
      <c r="G54" s="133">
        <v>2</v>
      </c>
      <c r="H54" s="133">
        <v>5</v>
      </c>
      <c r="I54" s="133">
        <f t="shared" si="3"/>
        <v>8469</v>
      </c>
      <c r="J54" s="133">
        <v>8282</v>
      </c>
      <c r="K54" s="133">
        <f>174+13+0+0</f>
        <v>187</v>
      </c>
      <c r="L54" s="133">
        <v>2065169</v>
      </c>
      <c r="M54" s="133">
        <v>3100</v>
      </c>
      <c r="N54" s="133">
        <v>305541</v>
      </c>
    </row>
    <row r="55" spans="1:14" s="71" customFormat="1" ht="15.75">
      <c r="A55" s="79">
        <v>45</v>
      </c>
      <c r="B55" s="83" t="s">
        <v>231</v>
      </c>
      <c r="C55" s="133">
        <f t="shared" si="1"/>
        <v>3</v>
      </c>
      <c r="D55" s="133">
        <v>1</v>
      </c>
      <c r="E55" s="133">
        <v>2</v>
      </c>
      <c r="F55" s="133">
        <f t="shared" si="2"/>
        <v>6</v>
      </c>
      <c r="G55" s="133">
        <v>3</v>
      </c>
      <c r="H55" s="133">
        <v>3</v>
      </c>
      <c r="I55" s="133">
        <f t="shared" si="3"/>
        <v>13767</v>
      </c>
      <c r="J55" s="133">
        <f>3425+93+50+6882+1642+984</f>
        <v>13076</v>
      </c>
      <c r="K55" s="133">
        <f>537+15+1+138</f>
        <v>691</v>
      </c>
      <c r="L55" s="133">
        <v>3920718.269</v>
      </c>
      <c r="M55" s="133">
        <v>355595</v>
      </c>
      <c r="N55" s="133">
        <v>884456.931</v>
      </c>
    </row>
    <row r="56" spans="1:14" s="71" customFormat="1" ht="15.75">
      <c r="A56" s="79">
        <v>46</v>
      </c>
      <c r="B56" s="83" t="s">
        <v>232</v>
      </c>
      <c r="C56" s="133">
        <f t="shared" si="1"/>
        <v>9</v>
      </c>
      <c r="D56" s="133">
        <v>2</v>
      </c>
      <c r="E56" s="133">
        <v>7</v>
      </c>
      <c r="F56" s="133">
        <f t="shared" si="2"/>
        <v>11</v>
      </c>
      <c r="G56" s="133">
        <v>3</v>
      </c>
      <c r="H56" s="133">
        <v>8</v>
      </c>
      <c r="I56" s="133">
        <f t="shared" si="3"/>
        <v>25490</v>
      </c>
      <c r="J56" s="133">
        <f>8855+1623+1155+7970+2453+1048</f>
        <v>23104</v>
      </c>
      <c r="K56" s="133">
        <f>2197+20+40+129</f>
        <v>2386</v>
      </c>
      <c r="L56" s="133">
        <v>4542214</v>
      </c>
      <c r="M56" s="133">
        <v>540135</v>
      </c>
      <c r="N56" s="133">
        <v>893353</v>
      </c>
    </row>
    <row r="57" spans="1:14" s="71" customFormat="1" ht="15.75">
      <c r="A57" s="79">
        <v>47</v>
      </c>
      <c r="B57" s="83" t="s">
        <v>233</v>
      </c>
      <c r="C57" s="133">
        <f t="shared" si="1"/>
        <v>3</v>
      </c>
      <c r="D57" s="133">
        <v>1</v>
      </c>
      <c r="E57" s="133">
        <v>2</v>
      </c>
      <c r="F57" s="133">
        <f t="shared" si="2"/>
        <v>5</v>
      </c>
      <c r="G57" s="133">
        <v>3</v>
      </c>
      <c r="H57" s="133">
        <v>2</v>
      </c>
      <c r="I57" s="133">
        <f t="shared" si="3"/>
        <v>7891</v>
      </c>
      <c r="J57" s="133">
        <f>2017+1690+51+2941+754+204</f>
        <v>7657</v>
      </c>
      <c r="K57" s="133">
        <f>187+6+0+41</f>
        <v>234</v>
      </c>
      <c r="L57" s="133">
        <v>2914987</v>
      </c>
      <c r="M57" s="133">
        <v>575120</v>
      </c>
      <c r="N57" s="133">
        <v>877925</v>
      </c>
    </row>
    <row r="58" spans="1:14" s="71" customFormat="1" ht="15.75">
      <c r="A58" s="79">
        <v>48</v>
      </c>
      <c r="B58" s="83" t="s">
        <v>234</v>
      </c>
      <c r="C58" s="133">
        <f t="shared" si="1"/>
        <v>13</v>
      </c>
      <c r="D58" s="133">
        <v>3</v>
      </c>
      <c r="E58" s="133">
        <v>10</v>
      </c>
      <c r="F58" s="133">
        <f t="shared" si="2"/>
        <v>30</v>
      </c>
      <c r="G58" s="133">
        <v>9</v>
      </c>
      <c r="H58" s="133">
        <v>21</v>
      </c>
      <c r="I58" s="133">
        <f t="shared" si="3"/>
        <v>29330</v>
      </c>
      <c r="J58" s="133">
        <f>7932+1177+643+11569+4832+1903</f>
        <v>28056</v>
      </c>
      <c r="K58" s="133">
        <f>872+4+3+395</f>
        <v>1274</v>
      </c>
      <c r="L58" s="133">
        <v>12590051</v>
      </c>
      <c r="M58" s="133">
        <v>1341987</v>
      </c>
      <c r="N58" s="133">
        <v>3350244</v>
      </c>
    </row>
    <row r="59" spans="1:14" s="71" customFormat="1" ht="15.75">
      <c r="A59" s="79">
        <v>49</v>
      </c>
      <c r="B59" s="83" t="s">
        <v>235</v>
      </c>
      <c r="C59" s="133">
        <f t="shared" si="1"/>
        <v>5</v>
      </c>
      <c r="D59" s="133">
        <v>2</v>
      </c>
      <c r="E59" s="133">
        <v>3</v>
      </c>
      <c r="F59" s="133">
        <f t="shared" si="2"/>
        <v>7</v>
      </c>
      <c r="G59" s="133">
        <v>3</v>
      </c>
      <c r="H59" s="133">
        <v>4</v>
      </c>
      <c r="I59" s="133">
        <f t="shared" si="3"/>
        <v>11468</v>
      </c>
      <c r="J59" s="133">
        <f>2199+1016+247+6846+500+322</f>
        <v>11130</v>
      </c>
      <c r="K59" s="133">
        <f>307+18+1+12</f>
        <v>338</v>
      </c>
      <c r="L59" s="133">
        <v>1903641</v>
      </c>
      <c r="M59" s="133">
        <v>139080</v>
      </c>
      <c r="N59" s="133">
        <v>765392</v>
      </c>
    </row>
    <row r="60" spans="1:14" s="71" customFormat="1" ht="15.75">
      <c r="A60" s="79">
        <v>50</v>
      </c>
      <c r="B60" s="83" t="s">
        <v>236</v>
      </c>
      <c r="C60" s="133">
        <f t="shared" si="1"/>
        <v>7</v>
      </c>
      <c r="D60" s="133">
        <v>1</v>
      </c>
      <c r="E60" s="133">
        <v>6</v>
      </c>
      <c r="F60" s="133">
        <f t="shared" si="2"/>
        <v>9</v>
      </c>
      <c r="G60" s="133">
        <v>2</v>
      </c>
      <c r="H60" s="133">
        <v>7</v>
      </c>
      <c r="I60" s="133">
        <f t="shared" si="3"/>
        <v>15800</v>
      </c>
      <c r="J60" s="133">
        <f>3941+1560+252+7752+856+814</f>
        <v>15175</v>
      </c>
      <c r="K60" s="133">
        <f>472+15+3+135</f>
        <v>625</v>
      </c>
      <c r="L60" s="133">
        <v>3385679.148</v>
      </c>
      <c r="M60" s="133">
        <v>543592</v>
      </c>
      <c r="N60" s="133">
        <v>422943.354</v>
      </c>
    </row>
    <row r="61" spans="1:14" s="71" customFormat="1" ht="15.75">
      <c r="A61" s="79">
        <v>51</v>
      </c>
      <c r="B61" s="84" t="s">
        <v>237</v>
      </c>
      <c r="C61" s="133">
        <f t="shared" si="1"/>
        <v>7</v>
      </c>
      <c r="D61" s="133">
        <v>3</v>
      </c>
      <c r="E61" s="133">
        <v>4</v>
      </c>
      <c r="F61" s="133">
        <f t="shared" si="2"/>
        <v>10</v>
      </c>
      <c r="G61" s="133">
        <v>5</v>
      </c>
      <c r="H61" s="133">
        <v>5</v>
      </c>
      <c r="I61" s="133">
        <f t="shared" si="3"/>
        <v>11403</v>
      </c>
      <c r="J61" s="133">
        <f>1635+67+232+6814+1481+918</f>
        <v>11147</v>
      </c>
      <c r="K61" s="133">
        <f>229+24+1+2</f>
        <v>256</v>
      </c>
      <c r="L61" s="133">
        <v>3358900</v>
      </c>
      <c r="M61" s="257">
        <v>0</v>
      </c>
      <c r="N61" s="133">
        <v>1214082</v>
      </c>
    </row>
    <row r="62" spans="1:14" s="71" customFormat="1" ht="15.75">
      <c r="A62" s="79">
        <v>52</v>
      </c>
      <c r="B62" s="84" t="s">
        <v>238</v>
      </c>
      <c r="C62" s="133">
        <f t="shared" si="1"/>
        <v>8</v>
      </c>
      <c r="D62" s="133">
        <v>3</v>
      </c>
      <c r="E62" s="133">
        <v>5</v>
      </c>
      <c r="F62" s="133">
        <f t="shared" si="2"/>
        <v>11</v>
      </c>
      <c r="G62" s="133">
        <v>6</v>
      </c>
      <c r="H62" s="133">
        <v>5</v>
      </c>
      <c r="I62" s="133">
        <f t="shared" si="3"/>
        <v>46132</v>
      </c>
      <c r="J62" s="133">
        <f>8430+1868+451+30043+1639+2019</f>
        <v>44450</v>
      </c>
      <c r="K62" s="133">
        <f>1429+103+12+138</f>
        <v>1682</v>
      </c>
      <c r="L62" s="133">
        <v>10162577</v>
      </c>
      <c r="M62" s="133">
        <v>1222452</v>
      </c>
      <c r="N62" s="133">
        <v>3832328</v>
      </c>
    </row>
    <row r="63" spans="1:14" s="71" customFormat="1" ht="15.75">
      <c r="A63" s="79">
        <v>53</v>
      </c>
      <c r="B63" s="84" t="s">
        <v>239</v>
      </c>
      <c r="C63" s="133">
        <f t="shared" si="1"/>
        <v>6</v>
      </c>
      <c r="D63" s="133">
        <v>1</v>
      </c>
      <c r="E63" s="133">
        <v>5</v>
      </c>
      <c r="F63" s="133">
        <f t="shared" si="2"/>
        <v>10</v>
      </c>
      <c r="G63" s="133">
        <v>3</v>
      </c>
      <c r="H63" s="133">
        <v>7</v>
      </c>
      <c r="I63" s="133">
        <f t="shared" si="3"/>
        <v>8342</v>
      </c>
      <c r="J63" s="133">
        <f>1847+69+48+5451+413+145</f>
        <v>7973</v>
      </c>
      <c r="K63" s="133">
        <f>368+0+0+1</f>
        <v>369</v>
      </c>
      <c r="L63" s="133">
        <v>2196220.175</v>
      </c>
      <c r="M63" s="133">
        <v>84609.356</v>
      </c>
      <c r="N63" s="133">
        <v>744960.671</v>
      </c>
    </row>
    <row r="64" spans="1:14" s="71" customFormat="1" ht="15.75">
      <c r="A64" s="79">
        <v>54</v>
      </c>
      <c r="B64" s="84" t="s">
        <v>240</v>
      </c>
      <c r="C64" s="133">
        <f t="shared" si="1"/>
        <v>7</v>
      </c>
      <c r="D64" s="133">
        <v>2</v>
      </c>
      <c r="E64" s="133">
        <v>5</v>
      </c>
      <c r="F64" s="133">
        <f t="shared" si="2"/>
        <v>10</v>
      </c>
      <c r="G64" s="133">
        <v>5</v>
      </c>
      <c r="H64" s="133">
        <v>5</v>
      </c>
      <c r="I64" s="133">
        <f t="shared" si="3"/>
        <v>10794</v>
      </c>
      <c r="J64" s="133">
        <f>1755+359+157+5871+1777+319</f>
        <v>10238</v>
      </c>
      <c r="K64" s="133">
        <f>503+19+0+34</f>
        <v>556</v>
      </c>
      <c r="L64" s="133">
        <v>2966301</v>
      </c>
      <c r="M64" s="133">
        <v>37985</v>
      </c>
      <c r="N64" s="133">
        <v>795568</v>
      </c>
    </row>
    <row r="65" spans="1:14" s="71" customFormat="1" ht="15.75">
      <c r="A65" s="79">
        <v>55</v>
      </c>
      <c r="B65" s="84" t="s">
        <v>241</v>
      </c>
      <c r="C65" s="133">
        <f t="shared" si="1"/>
        <v>29</v>
      </c>
      <c r="D65" s="133">
        <v>3</v>
      </c>
      <c r="E65" s="133">
        <v>26</v>
      </c>
      <c r="F65" s="133">
        <f t="shared" si="2"/>
        <v>43</v>
      </c>
      <c r="G65" s="133">
        <v>6</v>
      </c>
      <c r="H65" s="133">
        <v>37</v>
      </c>
      <c r="I65" s="133">
        <f t="shared" si="3"/>
        <v>56014</v>
      </c>
      <c r="J65" s="133">
        <f>24282+1968+187+20101+3054+2432</f>
        <v>52024</v>
      </c>
      <c r="K65" s="133">
        <f>3727+4+3+256</f>
        <v>3990</v>
      </c>
      <c r="L65" s="133">
        <v>12032783</v>
      </c>
      <c r="M65" s="133">
        <v>799551</v>
      </c>
      <c r="N65" s="133">
        <v>2110049</v>
      </c>
    </row>
    <row r="66" spans="1:14" s="71" customFormat="1" ht="30">
      <c r="A66" s="79">
        <v>56</v>
      </c>
      <c r="B66" s="274" t="s">
        <v>242</v>
      </c>
      <c r="C66" s="133">
        <f t="shared" si="1"/>
        <v>4</v>
      </c>
      <c r="D66" s="133">
        <v>2</v>
      </c>
      <c r="E66" s="133">
        <v>2</v>
      </c>
      <c r="F66" s="133">
        <f t="shared" si="2"/>
        <v>11</v>
      </c>
      <c r="G66" s="133">
        <v>7</v>
      </c>
      <c r="H66" s="133">
        <v>4</v>
      </c>
      <c r="I66" s="133">
        <f t="shared" si="3"/>
        <v>12650</v>
      </c>
      <c r="J66" s="133">
        <f>2886+979+185+5428+1834+561</f>
        <v>11873</v>
      </c>
      <c r="K66" s="133">
        <f>693+5+0+79</f>
        <v>777</v>
      </c>
      <c r="L66" s="133">
        <v>4610640</v>
      </c>
      <c r="M66" s="133">
        <v>667981</v>
      </c>
      <c r="N66" s="133">
        <v>1619393</v>
      </c>
    </row>
    <row r="67" spans="1:14" s="71" customFormat="1" ht="15.75">
      <c r="A67" s="79">
        <v>57</v>
      </c>
      <c r="B67" s="274" t="s">
        <v>243</v>
      </c>
      <c r="C67" s="133">
        <f t="shared" si="1"/>
        <v>11</v>
      </c>
      <c r="D67" s="133">
        <v>3</v>
      </c>
      <c r="E67" s="133">
        <v>8</v>
      </c>
      <c r="F67" s="133">
        <f t="shared" si="2"/>
        <v>19</v>
      </c>
      <c r="G67" s="133">
        <v>8</v>
      </c>
      <c r="H67" s="133">
        <v>11</v>
      </c>
      <c r="I67" s="133">
        <f t="shared" si="3"/>
        <v>45835</v>
      </c>
      <c r="J67" s="133">
        <f>20188+895+1472+14712+3773+1855</f>
        <v>42895</v>
      </c>
      <c r="K67" s="133">
        <f>2682+60+1+197</f>
        <v>2940</v>
      </c>
      <c r="L67" s="133">
        <v>10970088.651</v>
      </c>
      <c r="M67" s="133">
        <v>1439.655</v>
      </c>
      <c r="N67" s="133">
        <v>5300781.116</v>
      </c>
    </row>
    <row r="68" spans="1:14" s="71" customFormat="1" ht="30">
      <c r="A68" s="79">
        <v>58</v>
      </c>
      <c r="B68" s="274" t="s">
        <v>244</v>
      </c>
      <c r="C68" s="133">
        <f t="shared" si="1"/>
        <v>49</v>
      </c>
      <c r="D68" s="133">
        <v>7</v>
      </c>
      <c r="E68" s="133">
        <v>42</v>
      </c>
      <c r="F68" s="133">
        <f t="shared" si="2"/>
        <v>233</v>
      </c>
      <c r="G68" s="133">
        <v>63</v>
      </c>
      <c r="H68" s="133">
        <v>170</v>
      </c>
      <c r="I68" s="133">
        <f t="shared" si="3"/>
        <v>608402</v>
      </c>
      <c r="J68" s="133">
        <f>101577+159182+22388+81615+180689+37920</f>
        <v>583371</v>
      </c>
      <c r="K68" s="133">
        <f>17607+311+2+7111</f>
        <v>25031</v>
      </c>
      <c r="L68" s="133">
        <v>183159065</v>
      </c>
      <c r="M68" s="133">
        <v>29013155</v>
      </c>
      <c r="N68" s="133">
        <v>69052876</v>
      </c>
    </row>
    <row r="69" spans="1:14" s="71" customFormat="1" ht="15.75">
      <c r="A69" s="79">
        <v>59</v>
      </c>
      <c r="B69" s="274" t="s">
        <v>245</v>
      </c>
      <c r="C69" s="133">
        <f t="shared" si="1"/>
        <v>5</v>
      </c>
      <c r="D69" s="133">
        <v>1</v>
      </c>
      <c r="E69" s="133">
        <v>4</v>
      </c>
      <c r="F69" s="133">
        <f t="shared" si="2"/>
        <v>7</v>
      </c>
      <c r="G69" s="133">
        <v>2</v>
      </c>
      <c r="H69" s="133">
        <v>5</v>
      </c>
      <c r="I69" s="133">
        <f t="shared" si="3"/>
        <v>14748</v>
      </c>
      <c r="J69" s="133">
        <f>2645+4513+194+4018+1336+1564</f>
        <v>14270</v>
      </c>
      <c r="K69" s="133">
        <f>408+60+10</f>
        <v>478</v>
      </c>
      <c r="L69" s="133">
        <v>2226762</v>
      </c>
      <c r="M69" s="133">
        <v>182879</v>
      </c>
      <c r="N69" s="133">
        <v>647947</v>
      </c>
    </row>
    <row r="70" spans="1:14" s="71" customFormat="1" ht="30">
      <c r="A70" s="79">
        <v>60</v>
      </c>
      <c r="B70" s="274" t="s">
        <v>246</v>
      </c>
      <c r="C70" s="133">
        <f t="shared" si="1"/>
        <v>2</v>
      </c>
      <c r="D70" s="133">
        <v>1</v>
      </c>
      <c r="E70" s="133">
        <v>1</v>
      </c>
      <c r="F70" s="133">
        <f t="shared" si="2"/>
        <v>4</v>
      </c>
      <c r="G70" s="133">
        <v>3</v>
      </c>
      <c r="H70" s="133">
        <v>1</v>
      </c>
      <c r="I70" s="133">
        <f t="shared" si="3"/>
        <v>5143</v>
      </c>
      <c r="J70" s="133">
        <f>971+673+205+2226+263+632</f>
        <v>4970</v>
      </c>
      <c r="K70" s="133">
        <f>163+5+5+0</f>
        <v>173</v>
      </c>
      <c r="L70" s="133">
        <v>1536720</v>
      </c>
      <c r="M70" s="257">
        <v>0</v>
      </c>
      <c r="N70" s="133">
        <v>767860</v>
      </c>
    </row>
    <row r="71" spans="1:14" s="71" customFormat="1" ht="15.75">
      <c r="A71" s="79">
        <v>61</v>
      </c>
      <c r="B71" s="84" t="s">
        <v>247</v>
      </c>
      <c r="C71" s="133">
        <f t="shared" si="1"/>
        <v>6</v>
      </c>
      <c r="D71" s="133">
        <v>2</v>
      </c>
      <c r="E71" s="133">
        <v>4</v>
      </c>
      <c r="F71" s="133">
        <f t="shared" si="2"/>
        <v>9</v>
      </c>
      <c r="G71" s="133">
        <v>5</v>
      </c>
      <c r="H71" s="133">
        <v>4</v>
      </c>
      <c r="I71" s="133">
        <f t="shared" si="3"/>
        <v>23722</v>
      </c>
      <c r="J71" s="133">
        <f>6887+4224+721+5737+2265+3172</f>
        <v>23006</v>
      </c>
      <c r="K71" s="133">
        <f>679+16+6+15</f>
        <v>716</v>
      </c>
      <c r="L71" s="133">
        <v>4261082.015</v>
      </c>
      <c r="M71" s="257">
        <v>0</v>
      </c>
      <c r="N71" s="133">
        <v>1496045.346</v>
      </c>
    </row>
    <row r="72" spans="1:14" s="71" customFormat="1" ht="18.75" customHeight="1">
      <c r="A72" s="79">
        <v>62</v>
      </c>
      <c r="B72" s="84" t="s">
        <v>248</v>
      </c>
      <c r="C72" s="133">
        <f t="shared" si="1"/>
        <v>22</v>
      </c>
      <c r="D72" s="133">
        <v>3</v>
      </c>
      <c r="E72" s="133">
        <v>19</v>
      </c>
      <c r="F72" s="133">
        <f t="shared" si="2"/>
        <v>33</v>
      </c>
      <c r="G72" s="133">
        <v>7</v>
      </c>
      <c r="H72" s="133">
        <v>26</v>
      </c>
      <c r="I72" s="133">
        <v>34316</v>
      </c>
      <c r="J72" s="164"/>
      <c r="K72" s="164"/>
      <c r="L72" s="133">
        <v>5018005</v>
      </c>
      <c r="M72" s="133">
        <v>616043</v>
      </c>
      <c r="N72" s="133">
        <v>1579756</v>
      </c>
    </row>
    <row r="73" spans="1:14" s="71" customFormat="1" ht="15.75">
      <c r="A73" s="79">
        <v>63</v>
      </c>
      <c r="B73" s="84" t="s">
        <v>249</v>
      </c>
      <c r="C73" s="133">
        <f t="shared" si="1"/>
        <v>3</v>
      </c>
      <c r="D73" s="133">
        <v>2</v>
      </c>
      <c r="E73" s="133">
        <v>1</v>
      </c>
      <c r="F73" s="133">
        <f t="shared" si="2"/>
        <v>6</v>
      </c>
      <c r="G73" s="133">
        <v>5</v>
      </c>
      <c r="H73" s="133">
        <v>1</v>
      </c>
      <c r="I73" s="133">
        <f t="shared" si="3"/>
        <v>9278</v>
      </c>
      <c r="J73" s="133">
        <f>2781+93+105+3705+1040+839</f>
        <v>8563</v>
      </c>
      <c r="K73" s="133">
        <f>309+402+0+4</f>
        <v>715</v>
      </c>
      <c r="L73" s="133">
        <v>2006679</v>
      </c>
      <c r="M73" s="133">
        <v>27372</v>
      </c>
      <c r="N73" s="133">
        <v>952601</v>
      </c>
    </row>
    <row r="74" ht="12.75" customHeight="1"/>
    <row r="75" ht="12.75" customHeight="1"/>
    <row r="76" spans="1:16" s="102" customFormat="1" ht="12.75">
      <c r="A76" s="32"/>
      <c r="B76" s="32" t="s">
        <v>252</v>
      </c>
      <c r="C76" s="32" t="s">
        <v>303</v>
      </c>
      <c r="D76" s="32"/>
      <c r="E76" s="32"/>
      <c r="F76" s="32"/>
      <c r="G76" s="32"/>
      <c r="H76" s="32"/>
      <c r="I76" s="32"/>
      <c r="J76" s="32"/>
      <c r="K76" s="100"/>
      <c r="L76" s="32"/>
      <c r="M76" s="32"/>
      <c r="N76" s="32"/>
      <c r="O76" s="32"/>
      <c r="P76" s="101"/>
    </row>
    <row r="77" spans="1:16" s="102" customFormat="1" ht="12.75">
      <c r="A77" s="32"/>
      <c r="B77" s="32" t="s">
        <v>304</v>
      </c>
      <c r="C77" s="32" t="s">
        <v>305</v>
      </c>
      <c r="D77" s="32"/>
      <c r="E77" s="32"/>
      <c r="F77" s="32"/>
      <c r="G77" s="32"/>
      <c r="H77" s="32"/>
      <c r="I77" s="32"/>
      <c r="J77" s="32"/>
      <c r="K77" s="100"/>
      <c r="L77" s="32"/>
      <c r="M77" s="32"/>
      <c r="N77" s="32"/>
      <c r="O77" s="32"/>
      <c r="P77" s="101"/>
    </row>
    <row r="78" spans="1:15" s="99" customFormat="1" ht="12.75">
      <c r="A78" s="32"/>
      <c r="B78" s="32" t="s">
        <v>278</v>
      </c>
      <c r="C78" s="32" t="s">
        <v>306</v>
      </c>
      <c r="E78" s="32"/>
      <c r="F78" s="32"/>
      <c r="G78" s="32"/>
      <c r="H78" s="32"/>
      <c r="I78" s="32"/>
      <c r="J78" s="32"/>
      <c r="K78" s="100"/>
      <c r="L78" s="32"/>
      <c r="M78" s="32"/>
      <c r="N78" s="32"/>
      <c r="O78" s="32"/>
    </row>
    <row r="79" spans="1:17" s="102" customFormat="1" ht="12.75">
      <c r="A79" s="32"/>
      <c r="B79" s="32"/>
      <c r="C79" s="32"/>
      <c r="D79" s="32"/>
      <c r="E79" s="32"/>
      <c r="F79" s="32"/>
      <c r="G79" s="32"/>
      <c r="H79" s="32"/>
      <c r="I79" s="32"/>
      <c r="J79" s="32"/>
      <c r="K79" s="100"/>
      <c r="L79" s="100"/>
      <c r="M79" s="100"/>
      <c r="N79" s="100"/>
      <c r="O79" s="32"/>
      <c r="P79" s="101"/>
      <c r="Q79" s="101"/>
    </row>
    <row r="80" spans="1:17" s="102" customFormat="1" ht="12.75">
      <c r="A80" s="32"/>
      <c r="B80" s="369" t="s">
        <v>291</v>
      </c>
      <c r="C80" s="369"/>
      <c r="D80" s="369"/>
      <c r="E80" s="369"/>
      <c r="F80" s="369"/>
      <c r="G80" s="369"/>
      <c r="H80" s="369"/>
      <c r="I80" s="369"/>
      <c r="J80" s="369"/>
      <c r="K80" s="369"/>
      <c r="L80" s="369"/>
      <c r="M80" s="369"/>
      <c r="N80" s="369"/>
      <c r="O80" s="32"/>
      <c r="P80" s="101"/>
      <c r="Q80" s="101"/>
    </row>
    <row r="81" spans="1:17" s="102" customFormat="1" ht="12.75">
      <c r="A81" s="32"/>
      <c r="B81" s="32" t="s">
        <v>307</v>
      </c>
      <c r="C81" s="32"/>
      <c r="D81" s="32"/>
      <c r="E81" s="32"/>
      <c r="F81" s="32"/>
      <c r="G81" s="32"/>
      <c r="H81" s="32"/>
      <c r="I81" s="32"/>
      <c r="J81" s="32"/>
      <c r="K81" s="100"/>
      <c r="L81" s="100"/>
      <c r="M81" s="100"/>
      <c r="N81" s="100"/>
      <c r="O81" s="32"/>
      <c r="P81" s="101"/>
      <c r="Q81" s="101"/>
    </row>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21.75" customHeight="1"/>
  </sheetData>
  <sheetProtection/>
  <mergeCells count="20">
    <mergeCell ref="A1:B1"/>
    <mergeCell ref="I6:K6"/>
    <mergeCell ref="L6:L8"/>
    <mergeCell ref="A2:N2"/>
    <mergeCell ref="C6:E6"/>
    <mergeCell ref="C7:C8"/>
    <mergeCell ref="D7:E7"/>
    <mergeCell ref="F6:H6"/>
    <mergeCell ref="F7:F8"/>
    <mergeCell ref="A3:N3"/>
    <mergeCell ref="A4:N4"/>
    <mergeCell ref="N6:N8"/>
    <mergeCell ref="J7:K7"/>
    <mergeCell ref="I7:I8"/>
    <mergeCell ref="G7:H7"/>
    <mergeCell ref="B80:N80"/>
    <mergeCell ref="A10:B10"/>
    <mergeCell ref="M6:M8"/>
    <mergeCell ref="A6:B8"/>
    <mergeCell ref="A9:B9"/>
  </mergeCells>
  <printOptions/>
  <pageMargins left="0.5" right="0.25" top="0.75" bottom="0.5"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U160"/>
  <sheetViews>
    <sheetView view="pageBreakPreview" zoomScale="60" zoomScalePageLayoutView="0" workbookViewId="0" topLeftCell="A1">
      <selection activeCell="A1" sqref="A1:B1"/>
    </sheetView>
  </sheetViews>
  <sheetFormatPr defaultColWidth="9.140625" defaultRowHeight="12.75"/>
  <cols>
    <col min="1" max="1" width="4.57421875" style="14" customWidth="1"/>
    <col min="2" max="2" width="11.57421875" style="14" customWidth="1"/>
    <col min="3" max="3" width="8.140625" style="14" customWidth="1"/>
    <col min="4" max="4" width="7.421875" style="14" customWidth="1"/>
    <col min="5" max="6" width="10.140625" style="14" customWidth="1"/>
    <col min="7" max="7" width="8.7109375" style="14" customWidth="1"/>
    <col min="8" max="8" width="16.28125" style="231" customWidth="1"/>
    <col min="9" max="9" width="16.7109375" style="231" customWidth="1"/>
    <col min="10" max="10" width="6.28125" style="14" customWidth="1"/>
    <col min="11" max="11" width="6.57421875" style="14" customWidth="1"/>
    <col min="12" max="13" width="7.00390625" style="14" customWidth="1"/>
    <col min="14" max="14" width="13.28125" style="14" bestFit="1" customWidth="1"/>
    <col min="15" max="15" width="7.7109375" style="14" customWidth="1"/>
    <col min="16" max="16" width="9.8515625" style="14" customWidth="1"/>
    <col min="17" max="17" width="9.28125" style="14" customWidth="1"/>
    <col min="18" max="18" width="18.00390625" style="130" customWidth="1"/>
    <col min="19" max="19" width="17.7109375" style="130" customWidth="1"/>
    <col min="20" max="20" width="13.7109375" style="14" bestFit="1" customWidth="1"/>
    <col min="21" max="21" width="11.57421875" style="14" bestFit="1" customWidth="1"/>
    <col min="22" max="16384" width="9.140625" style="14" customWidth="1"/>
  </cols>
  <sheetData>
    <row r="1" spans="1:19" ht="18.75">
      <c r="A1" s="398" t="s">
        <v>7</v>
      </c>
      <c r="B1" s="398"/>
      <c r="L1" s="34"/>
      <c r="M1" s="34"/>
      <c r="N1" s="34"/>
      <c r="O1" s="34"/>
      <c r="P1" s="34"/>
      <c r="Q1" s="34"/>
      <c r="R1" s="85"/>
      <c r="S1" s="85"/>
    </row>
    <row r="2" spans="1:19" ht="18.75">
      <c r="A2" s="403" t="s">
        <v>89</v>
      </c>
      <c r="B2" s="403"/>
      <c r="C2" s="403"/>
      <c r="D2" s="403"/>
      <c r="E2" s="403"/>
      <c r="F2" s="403"/>
      <c r="G2" s="403"/>
      <c r="H2" s="403"/>
      <c r="I2" s="403"/>
      <c r="J2" s="403"/>
      <c r="K2" s="403"/>
      <c r="L2" s="403"/>
      <c r="M2" s="403"/>
      <c r="N2" s="403"/>
      <c r="O2" s="403"/>
      <c r="P2" s="403"/>
      <c r="Q2" s="403"/>
      <c r="R2" s="403"/>
      <c r="S2" s="403"/>
    </row>
    <row r="3" spans="1:19" ht="18.75">
      <c r="A3" s="384" t="s">
        <v>149</v>
      </c>
      <c r="B3" s="384"/>
      <c r="C3" s="384"/>
      <c r="D3" s="384"/>
      <c r="E3" s="384"/>
      <c r="F3" s="384"/>
      <c r="G3" s="384"/>
      <c r="H3" s="384"/>
      <c r="I3" s="384"/>
      <c r="J3" s="384"/>
      <c r="K3" s="384"/>
      <c r="L3" s="384"/>
      <c r="M3" s="384"/>
      <c r="N3" s="384"/>
      <c r="O3" s="384"/>
      <c r="P3" s="384"/>
      <c r="Q3" s="384"/>
      <c r="R3" s="384"/>
      <c r="S3" s="384"/>
    </row>
    <row r="4" spans="1:19" ht="18.75">
      <c r="A4" s="399" t="s">
        <v>283</v>
      </c>
      <c r="B4" s="400"/>
      <c r="C4" s="400"/>
      <c r="D4" s="400"/>
      <c r="E4" s="400"/>
      <c r="F4" s="400"/>
      <c r="G4" s="400"/>
      <c r="H4" s="400"/>
      <c r="I4" s="400"/>
      <c r="J4" s="400"/>
      <c r="K4" s="400"/>
      <c r="L4" s="400"/>
      <c r="M4" s="400"/>
      <c r="N4" s="400"/>
      <c r="O4" s="400"/>
      <c r="P4" s="400"/>
      <c r="Q4" s="400"/>
      <c r="R4" s="400"/>
      <c r="S4" s="400"/>
    </row>
    <row r="5" spans="1:19" ht="18.75">
      <c r="A5" s="225"/>
      <c r="B5" s="86"/>
      <c r="C5" s="232"/>
      <c r="L5" s="45"/>
      <c r="M5" s="45"/>
      <c r="N5" s="45"/>
      <c r="O5" s="45"/>
      <c r="P5" s="45"/>
      <c r="Q5" s="45"/>
      <c r="R5" s="129"/>
      <c r="S5" s="129"/>
    </row>
    <row r="6" spans="1:19" s="32" customFormat="1" ht="24.75" customHeight="1">
      <c r="A6" s="392"/>
      <c r="B6" s="393"/>
      <c r="C6" s="396" t="s">
        <v>142</v>
      </c>
      <c r="D6" s="396"/>
      <c r="E6" s="396"/>
      <c r="F6" s="396"/>
      <c r="G6" s="396"/>
      <c r="H6" s="396"/>
      <c r="I6" s="396"/>
      <c r="J6" s="396"/>
      <c r="K6" s="396"/>
      <c r="L6" s="404" t="s">
        <v>6</v>
      </c>
      <c r="M6" s="405"/>
      <c r="N6" s="405"/>
      <c r="O6" s="405"/>
      <c r="P6" s="405"/>
      <c r="Q6" s="405"/>
      <c r="R6" s="405"/>
      <c r="S6" s="406"/>
    </row>
    <row r="7" spans="1:19" s="32" customFormat="1" ht="24.75" customHeight="1">
      <c r="A7" s="394"/>
      <c r="B7" s="395"/>
      <c r="C7" s="396" t="s">
        <v>3</v>
      </c>
      <c r="D7" s="396"/>
      <c r="E7" s="396"/>
      <c r="F7" s="396"/>
      <c r="G7" s="396"/>
      <c r="H7" s="396"/>
      <c r="I7" s="396"/>
      <c r="J7" s="396" t="s">
        <v>161</v>
      </c>
      <c r="K7" s="396"/>
      <c r="L7" s="407"/>
      <c r="M7" s="408"/>
      <c r="N7" s="408"/>
      <c r="O7" s="408"/>
      <c r="P7" s="408"/>
      <c r="Q7" s="408"/>
      <c r="R7" s="408"/>
      <c r="S7" s="409"/>
    </row>
    <row r="8" spans="1:19" s="32" customFormat="1" ht="44.25" customHeight="1">
      <c r="A8" s="394"/>
      <c r="B8" s="395"/>
      <c r="C8" s="396" t="s">
        <v>261</v>
      </c>
      <c r="D8" s="396" t="s">
        <v>262</v>
      </c>
      <c r="E8" s="401" t="s">
        <v>263</v>
      </c>
      <c r="F8" s="401"/>
      <c r="G8" s="401"/>
      <c r="H8" s="366" t="s">
        <v>275</v>
      </c>
      <c r="I8" s="366"/>
      <c r="J8" s="396" t="s">
        <v>264</v>
      </c>
      <c r="K8" s="396" t="s">
        <v>265</v>
      </c>
      <c r="L8" s="396" t="s">
        <v>266</v>
      </c>
      <c r="M8" s="396" t="s">
        <v>270</v>
      </c>
      <c r="N8" s="396" t="s">
        <v>267</v>
      </c>
      <c r="O8" s="396"/>
      <c r="P8" s="396" t="s">
        <v>268</v>
      </c>
      <c r="Q8" s="396"/>
      <c r="R8" s="402" t="s">
        <v>269</v>
      </c>
      <c r="S8" s="402"/>
    </row>
    <row r="9" spans="1:19" s="32" customFormat="1" ht="12.75">
      <c r="A9" s="394"/>
      <c r="B9" s="395"/>
      <c r="C9" s="396"/>
      <c r="D9" s="396"/>
      <c r="E9" s="385" t="s">
        <v>9</v>
      </c>
      <c r="F9" s="391" t="s">
        <v>78</v>
      </c>
      <c r="G9" s="391"/>
      <c r="H9" s="301" t="s">
        <v>9</v>
      </c>
      <c r="I9" s="301" t="s">
        <v>81</v>
      </c>
      <c r="J9" s="396"/>
      <c r="K9" s="396"/>
      <c r="L9" s="396"/>
      <c r="M9" s="396"/>
      <c r="N9" s="385" t="s">
        <v>9</v>
      </c>
      <c r="O9" s="385" t="s">
        <v>83</v>
      </c>
      <c r="P9" s="389" t="s">
        <v>9</v>
      </c>
      <c r="Q9" s="389" t="s">
        <v>84</v>
      </c>
      <c r="R9" s="387" t="s">
        <v>9</v>
      </c>
      <c r="S9" s="387" t="s">
        <v>27</v>
      </c>
    </row>
    <row r="10" spans="1:19" s="32" customFormat="1" ht="84.75" customHeight="1">
      <c r="A10" s="394"/>
      <c r="B10" s="395"/>
      <c r="C10" s="396"/>
      <c r="D10" s="396"/>
      <c r="E10" s="385"/>
      <c r="F10" s="226" t="s">
        <v>79</v>
      </c>
      <c r="G10" s="226" t="s">
        <v>80</v>
      </c>
      <c r="H10" s="301"/>
      <c r="I10" s="301"/>
      <c r="J10" s="396"/>
      <c r="K10" s="396"/>
      <c r="L10" s="397"/>
      <c r="M10" s="397"/>
      <c r="N10" s="386"/>
      <c r="O10" s="386"/>
      <c r="P10" s="390"/>
      <c r="Q10" s="390"/>
      <c r="R10" s="388"/>
      <c r="S10" s="388"/>
    </row>
    <row r="11" spans="1:19" s="32" customFormat="1" ht="12.75">
      <c r="A11" s="410" t="s">
        <v>40</v>
      </c>
      <c r="B11" s="410"/>
      <c r="C11" s="233">
        <v>1</v>
      </c>
      <c r="D11" s="233">
        <v>2</v>
      </c>
      <c r="E11" s="233">
        <v>3</v>
      </c>
      <c r="F11" s="233">
        <v>4</v>
      </c>
      <c r="G11" s="233">
        <v>5</v>
      </c>
      <c r="H11" s="233">
        <v>6</v>
      </c>
      <c r="I11" s="233">
        <v>7</v>
      </c>
      <c r="J11" s="233">
        <v>8</v>
      </c>
      <c r="K11" s="233">
        <v>9</v>
      </c>
      <c r="L11" s="233">
        <v>10</v>
      </c>
      <c r="M11" s="233">
        <v>11</v>
      </c>
      <c r="N11" s="233">
        <v>12</v>
      </c>
      <c r="O11" s="233">
        <v>13</v>
      </c>
      <c r="P11" s="233">
        <v>14</v>
      </c>
      <c r="Q11" s="233">
        <v>15</v>
      </c>
      <c r="R11" s="233">
        <v>16</v>
      </c>
      <c r="S11" s="233">
        <v>17</v>
      </c>
    </row>
    <row r="12" spans="1:21" s="32" customFormat="1" ht="27.75" customHeight="1">
      <c r="A12" s="411" t="s">
        <v>97</v>
      </c>
      <c r="B12" s="412"/>
      <c r="C12" s="227">
        <f aca="true" t="shared" si="0" ref="C12:S12">SUM(C13:C75)</f>
        <v>3387</v>
      </c>
      <c r="D12" s="227">
        <f t="shared" si="0"/>
        <v>8156</v>
      </c>
      <c r="E12" s="227">
        <f t="shared" si="0"/>
        <v>152518</v>
      </c>
      <c r="F12" s="227">
        <f t="shared" si="0"/>
        <v>26428</v>
      </c>
      <c r="G12" s="227">
        <f t="shared" si="0"/>
        <v>88759</v>
      </c>
      <c r="H12" s="234">
        <f t="shared" si="0"/>
        <v>1471463934.064</v>
      </c>
      <c r="I12" s="234">
        <f t="shared" si="0"/>
        <v>198851598.51000002</v>
      </c>
      <c r="J12" s="227">
        <f t="shared" si="0"/>
        <v>103</v>
      </c>
      <c r="K12" s="227">
        <f t="shared" si="0"/>
        <v>118</v>
      </c>
      <c r="L12" s="227">
        <f t="shared" si="0"/>
        <v>646</v>
      </c>
      <c r="M12" s="227">
        <f t="shared" si="0"/>
        <v>656</v>
      </c>
      <c r="N12" s="227">
        <f t="shared" si="0"/>
        <v>19280</v>
      </c>
      <c r="O12" s="227">
        <f t="shared" si="0"/>
        <v>8261</v>
      </c>
      <c r="P12" s="227">
        <f t="shared" si="0"/>
        <v>16750</v>
      </c>
      <c r="Q12" s="227">
        <f t="shared" si="0"/>
        <v>14626</v>
      </c>
      <c r="R12" s="227">
        <f t="shared" si="0"/>
        <v>5058037048.199</v>
      </c>
      <c r="S12" s="227">
        <f t="shared" si="0"/>
        <v>503774190.418</v>
      </c>
      <c r="T12" s="275">
        <f>R12-R36</f>
        <v>677441303.1990004</v>
      </c>
      <c r="U12" s="275">
        <f>S12/63</f>
        <v>7996415.720920634</v>
      </c>
    </row>
    <row r="13" spans="1:21" ht="15">
      <c r="A13" s="142">
        <v>1</v>
      </c>
      <c r="B13" s="143" t="s">
        <v>167</v>
      </c>
      <c r="C13" s="150">
        <v>35</v>
      </c>
      <c r="D13" s="150">
        <v>49</v>
      </c>
      <c r="E13" s="150">
        <v>2086</v>
      </c>
      <c r="F13" s="150">
        <v>714</v>
      </c>
      <c r="G13" s="150">
        <v>1108</v>
      </c>
      <c r="H13" s="148">
        <v>958180</v>
      </c>
      <c r="I13" s="148">
        <v>89456</v>
      </c>
      <c r="J13" s="150"/>
      <c r="K13" s="150"/>
      <c r="L13" s="150">
        <v>15</v>
      </c>
      <c r="M13" s="150">
        <v>6</v>
      </c>
      <c r="N13" s="151">
        <v>297</v>
      </c>
      <c r="O13" s="151">
        <v>67</v>
      </c>
      <c r="P13" s="150">
        <v>79</v>
      </c>
      <c r="Q13" s="150">
        <v>79</v>
      </c>
      <c r="R13" s="150">
        <v>4595929</v>
      </c>
      <c r="S13" s="150">
        <v>1890786</v>
      </c>
      <c r="U13" s="232">
        <f>U12/500000</f>
        <v>15.992831441841268</v>
      </c>
    </row>
    <row r="14" spans="1:19" ht="24">
      <c r="A14" s="142">
        <v>2</v>
      </c>
      <c r="B14" s="143" t="s">
        <v>251</v>
      </c>
      <c r="C14" s="150">
        <v>63</v>
      </c>
      <c r="D14" s="150">
        <v>174</v>
      </c>
      <c r="E14" s="150">
        <v>3666</v>
      </c>
      <c r="F14" s="150">
        <v>638</v>
      </c>
      <c r="G14" s="150">
        <v>1218</v>
      </c>
      <c r="H14" s="148">
        <v>11755631</v>
      </c>
      <c r="I14" s="148">
        <v>731012</v>
      </c>
      <c r="J14" s="150"/>
      <c r="K14" s="150"/>
      <c r="L14" s="150">
        <v>13</v>
      </c>
      <c r="M14" s="150">
        <v>6</v>
      </c>
      <c r="N14" s="151">
        <v>398</v>
      </c>
      <c r="O14" s="151">
        <v>200</v>
      </c>
      <c r="P14" s="150">
        <v>220</v>
      </c>
      <c r="Q14" s="150">
        <v>220</v>
      </c>
      <c r="R14" s="150">
        <v>2581259</v>
      </c>
      <c r="S14" s="150">
        <v>303445</v>
      </c>
    </row>
    <row r="15" spans="1:19" ht="15">
      <c r="A15" s="142">
        <v>3</v>
      </c>
      <c r="B15" s="143" t="s">
        <v>168</v>
      </c>
      <c r="C15" s="150">
        <v>14</v>
      </c>
      <c r="D15" s="150">
        <v>30</v>
      </c>
      <c r="E15" s="150">
        <v>625</v>
      </c>
      <c r="F15" s="150">
        <v>263</v>
      </c>
      <c r="G15" s="150">
        <v>356</v>
      </c>
      <c r="H15" s="148">
        <v>1212958</v>
      </c>
      <c r="I15" s="148">
        <v>119367</v>
      </c>
      <c r="J15" s="150"/>
      <c r="K15" s="150"/>
      <c r="L15" s="150">
        <v>5</v>
      </c>
      <c r="M15" s="150">
        <v>7</v>
      </c>
      <c r="N15" s="151">
        <v>182</v>
      </c>
      <c r="O15" s="151">
        <v>88</v>
      </c>
      <c r="P15" s="150">
        <v>176</v>
      </c>
      <c r="Q15" s="150">
        <v>117</v>
      </c>
      <c r="R15" s="235">
        <v>115683518</v>
      </c>
      <c r="S15" s="235">
        <v>114883833</v>
      </c>
    </row>
    <row r="16" spans="1:19" ht="15.75">
      <c r="A16" s="142">
        <v>4</v>
      </c>
      <c r="B16" s="143" t="s">
        <v>169</v>
      </c>
      <c r="C16" s="150">
        <v>5</v>
      </c>
      <c r="D16" s="150">
        <v>6</v>
      </c>
      <c r="E16" s="150">
        <v>49</v>
      </c>
      <c r="F16" s="150">
        <v>10</v>
      </c>
      <c r="G16" s="150">
        <v>37</v>
      </c>
      <c r="H16" s="148">
        <v>37000</v>
      </c>
      <c r="I16" s="257">
        <v>0</v>
      </c>
      <c r="J16" s="150"/>
      <c r="K16" s="150"/>
      <c r="L16" s="150">
        <v>7</v>
      </c>
      <c r="M16" s="150">
        <v>3</v>
      </c>
      <c r="N16" s="151">
        <v>99</v>
      </c>
      <c r="O16" s="151">
        <v>86</v>
      </c>
      <c r="P16" s="150">
        <v>99</v>
      </c>
      <c r="Q16" s="150">
        <v>86</v>
      </c>
      <c r="R16" s="150">
        <v>1204998</v>
      </c>
      <c r="S16" s="150">
        <v>1204998</v>
      </c>
    </row>
    <row r="17" spans="1:19" ht="15">
      <c r="A17" s="142">
        <v>5</v>
      </c>
      <c r="B17" s="143" t="s">
        <v>170</v>
      </c>
      <c r="C17" s="150">
        <v>8</v>
      </c>
      <c r="D17" s="150">
        <v>13</v>
      </c>
      <c r="E17" s="150">
        <v>432</v>
      </c>
      <c r="F17" s="150">
        <v>147</v>
      </c>
      <c r="G17" s="150">
        <v>252</v>
      </c>
      <c r="H17" s="148">
        <v>304860.4</v>
      </c>
      <c r="I17" s="148">
        <v>12560</v>
      </c>
      <c r="J17" s="150"/>
      <c r="K17" s="150"/>
      <c r="L17" s="150">
        <v>1</v>
      </c>
      <c r="M17" s="150">
        <v>3</v>
      </c>
      <c r="N17" s="151">
        <v>222</v>
      </c>
      <c r="O17" s="151">
        <v>27</v>
      </c>
      <c r="P17" s="150">
        <v>38</v>
      </c>
      <c r="Q17" s="150">
        <v>38</v>
      </c>
      <c r="R17" s="150">
        <v>301433</v>
      </c>
      <c r="S17" s="150">
        <v>53667</v>
      </c>
    </row>
    <row r="18" spans="1:19" ht="15.75">
      <c r="A18" s="142">
        <v>6</v>
      </c>
      <c r="B18" s="143" t="s">
        <v>171</v>
      </c>
      <c r="C18" s="148">
        <v>13</v>
      </c>
      <c r="D18" s="148">
        <v>39</v>
      </c>
      <c r="E18" s="135">
        <v>531</v>
      </c>
      <c r="F18" s="236">
        <v>119</v>
      </c>
      <c r="G18" s="148">
        <v>170</v>
      </c>
      <c r="H18" s="148">
        <v>734200</v>
      </c>
      <c r="I18" s="148"/>
      <c r="J18" s="148"/>
      <c r="K18" s="148"/>
      <c r="L18" s="148">
        <v>5</v>
      </c>
      <c r="M18" s="148">
        <v>12</v>
      </c>
      <c r="N18" s="148">
        <v>202</v>
      </c>
      <c r="O18" s="148">
        <v>85</v>
      </c>
      <c r="P18" s="148">
        <v>167</v>
      </c>
      <c r="Q18" s="148">
        <v>86</v>
      </c>
      <c r="R18" s="148">
        <v>895018</v>
      </c>
      <c r="S18" s="148">
        <v>197863</v>
      </c>
    </row>
    <row r="19" spans="1:19" ht="15">
      <c r="A19" s="142">
        <v>7</v>
      </c>
      <c r="B19" s="143" t="s">
        <v>172</v>
      </c>
      <c r="C19" s="148">
        <v>25</v>
      </c>
      <c r="D19" s="148">
        <v>37</v>
      </c>
      <c r="E19" s="148">
        <v>812</v>
      </c>
      <c r="F19" s="148">
        <v>413</v>
      </c>
      <c r="G19" s="148">
        <v>274</v>
      </c>
      <c r="H19" s="148">
        <v>462950</v>
      </c>
      <c r="I19" s="148">
        <v>41967</v>
      </c>
      <c r="J19" s="148"/>
      <c r="K19" s="148"/>
      <c r="L19" s="148">
        <v>12</v>
      </c>
      <c r="M19" s="148">
        <v>6</v>
      </c>
      <c r="N19" s="237">
        <v>588</v>
      </c>
      <c r="O19" s="237">
        <v>114</v>
      </c>
      <c r="P19" s="148">
        <v>288</v>
      </c>
      <c r="Q19" s="148">
        <v>215</v>
      </c>
      <c r="R19" s="148">
        <v>6164980</v>
      </c>
      <c r="S19" s="148">
        <v>5367198</v>
      </c>
    </row>
    <row r="20" spans="1:19" ht="15">
      <c r="A20" s="142">
        <v>8</v>
      </c>
      <c r="B20" s="143" t="s">
        <v>173</v>
      </c>
      <c r="C20" s="150">
        <v>21</v>
      </c>
      <c r="D20" s="150">
        <v>39</v>
      </c>
      <c r="E20" s="150">
        <v>624</v>
      </c>
      <c r="F20" s="150">
        <v>203</v>
      </c>
      <c r="G20" s="150">
        <v>69</v>
      </c>
      <c r="H20" s="148">
        <v>812000</v>
      </c>
      <c r="I20" s="148">
        <v>72688</v>
      </c>
      <c r="J20" s="150"/>
      <c r="K20" s="150"/>
      <c r="L20" s="150">
        <v>11</v>
      </c>
      <c r="M20" s="150">
        <v>14</v>
      </c>
      <c r="N20" s="151">
        <v>319</v>
      </c>
      <c r="O20" s="151">
        <v>196</v>
      </c>
      <c r="P20" s="150">
        <v>671</v>
      </c>
      <c r="Q20" s="150">
        <v>671</v>
      </c>
      <c r="R20" s="150">
        <v>7773391</v>
      </c>
      <c r="S20" s="150">
        <v>5130688</v>
      </c>
    </row>
    <row r="21" spans="1:19" ht="15">
      <c r="A21" s="142">
        <v>9</v>
      </c>
      <c r="B21" s="143" t="s">
        <v>174</v>
      </c>
      <c r="C21" s="150">
        <v>19</v>
      </c>
      <c r="D21" s="150">
        <v>18</v>
      </c>
      <c r="E21" s="150">
        <v>1306</v>
      </c>
      <c r="F21" s="150">
        <v>333</v>
      </c>
      <c r="G21" s="150">
        <v>617</v>
      </c>
      <c r="H21" s="148">
        <v>1999824</v>
      </c>
      <c r="I21" s="148">
        <v>123079</v>
      </c>
      <c r="J21" s="150"/>
      <c r="K21" s="150"/>
      <c r="L21" s="150">
        <v>11</v>
      </c>
      <c r="M21" s="150">
        <v>7</v>
      </c>
      <c r="N21" s="151">
        <v>228</v>
      </c>
      <c r="O21" s="151">
        <v>116</v>
      </c>
      <c r="P21" s="150">
        <v>172</v>
      </c>
      <c r="Q21" s="150">
        <v>169</v>
      </c>
      <c r="R21" s="150">
        <v>6098262</v>
      </c>
      <c r="S21" s="150">
        <v>3734725</v>
      </c>
    </row>
    <row r="22" spans="1:19" ht="15">
      <c r="A22" s="142">
        <v>10</v>
      </c>
      <c r="B22" s="143" t="s">
        <v>175</v>
      </c>
      <c r="C22" s="150">
        <v>19</v>
      </c>
      <c r="D22" s="150">
        <v>39</v>
      </c>
      <c r="E22" s="150">
        <v>1199</v>
      </c>
      <c r="F22" s="150">
        <v>289</v>
      </c>
      <c r="G22" s="150">
        <v>682</v>
      </c>
      <c r="H22" s="148">
        <v>750767</v>
      </c>
      <c r="I22" s="148">
        <v>61099</v>
      </c>
      <c r="J22" s="150"/>
      <c r="K22" s="150"/>
      <c r="L22" s="150">
        <v>1</v>
      </c>
      <c r="M22" s="150">
        <v>3</v>
      </c>
      <c r="N22" s="151">
        <v>105</v>
      </c>
      <c r="O22" s="151">
        <v>98</v>
      </c>
      <c r="P22" s="150">
        <v>105</v>
      </c>
      <c r="Q22" s="150">
        <v>98</v>
      </c>
      <c r="R22" s="150">
        <v>230000</v>
      </c>
      <c r="S22" s="150">
        <v>23000</v>
      </c>
    </row>
    <row r="23" spans="1:19" ht="15">
      <c r="A23" s="142">
        <v>11</v>
      </c>
      <c r="B23" s="143" t="s">
        <v>176</v>
      </c>
      <c r="C23" s="150">
        <v>20</v>
      </c>
      <c r="D23" s="150">
        <v>33</v>
      </c>
      <c r="E23" s="150">
        <v>1644</v>
      </c>
      <c r="F23" s="150">
        <v>469</v>
      </c>
      <c r="G23" s="150">
        <v>1058</v>
      </c>
      <c r="H23" s="150">
        <v>424000</v>
      </c>
      <c r="I23" s="150">
        <v>42400</v>
      </c>
      <c r="J23" s="150"/>
      <c r="K23" s="150"/>
      <c r="L23" s="150">
        <v>5</v>
      </c>
      <c r="M23" s="150">
        <v>7</v>
      </c>
      <c r="N23" s="150">
        <v>391</v>
      </c>
      <c r="O23" s="150">
        <v>359</v>
      </c>
      <c r="P23" s="150">
        <v>373</v>
      </c>
      <c r="Q23" s="150">
        <v>373</v>
      </c>
      <c r="R23" s="238">
        <v>5768894</v>
      </c>
      <c r="S23" s="150">
        <v>336646</v>
      </c>
    </row>
    <row r="24" spans="1:19" ht="15">
      <c r="A24" s="142">
        <v>12</v>
      </c>
      <c r="B24" s="143" t="s">
        <v>177</v>
      </c>
      <c r="C24" s="150">
        <v>16</v>
      </c>
      <c r="D24" s="150">
        <v>29</v>
      </c>
      <c r="E24" s="150">
        <v>2498</v>
      </c>
      <c r="F24" s="150">
        <v>400</v>
      </c>
      <c r="G24" s="150">
        <v>1647</v>
      </c>
      <c r="H24" s="148">
        <v>1679400</v>
      </c>
      <c r="I24" s="148">
        <v>113394</v>
      </c>
      <c r="J24" s="150"/>
      <c r="K24" s="150"/>
      <c r="L24" s="150">
        <v>2</v>
      </c>
      <c r="M24" s="150">
        <v>2</v>
      </c>
      <c r="N24" s="151">
        <v>336</v>
      </c>
      <c r="O24" s="151">
        <v>50</v>
      </c>
      <c r="P24" s="150">
        <v>50</v>
      </c>
      <c r="Q24" s="150">
        <v>50</v>
      </c>
      <c r="R24" s="150">
        <v>373311</v>
      </c>
      <c r="S24" s="150">
        <v>35909</v>
      </c>
    </row>
    <row r="25" spans="1:19" ht="15">
      <c r="A25" s="142">
        <v>13</v>
      </c>
      <c r="B25" s="143" t="s">
        <v>178</v>
      </c>
      <c r="C25" s="150">
        <v>87</v>
      </c>
      <c r="D25" s="150">
        <v>161</v>
      </c>
      <c r="E25" s="150">
        <v>3724</v>
      </c>
      <c r="F25" s="150">
        <v>836</v>
      </c>
      <c r="G25" s="150">
        <v>1122</v>
      </c>
      <c r="H25" s="148">
        <v>4550878</v>
      </c>
      <c r="I25" s="148">
        <v>372639</v>
      </c>
      <c r="J25" s="150"/>
      <c r="K25" s="150"/>
      <c r="L25" s="150">
        <v>9</v>
      </c>
      <c r="M25" s="150">
        <v>7</v>
      </c>
      <c r="N25" s="151">
        <f>221+27</f>
        <v>248</v>
      </c>
      <c r="O25" s="151">
        <v>72</v>
      </c>
      <c r="P25" s="150">
        <v>225</v>
      </c>
      <c r="Q25" s="150">
        <v>225</v>
      </c>
      <c r="R25" s="150">
        <f>2063402+7570464</f>
        <v>9633866</v>
      </c>
      <c r="S25" s="150">
        <f>500+5404992</f>
        <v>5405492</v>
      </c>
    </row>
    <row r="26" spans="1:19" ht="15">
      <c r="A26" s="142">
        <v>14</v>
      </c>
      <c r="B26" s="143" t="s">
        <v>179</v>
      </c>
      <c r="C26" s="150">
        <v>5</v>
      </c>
      <c r="D26" s="150">
        <v>10</v>
      </c>
      <c r="E26" s="150">
        <v>126</v>
      </c>
      <c r="F26" s="150">
        <v>66</v>
      </c>
      <c r="G26" s="150">
        <v>60</v>
      </c>
      <c r="H26" s="148">
        <v>90000</v>
      </c>
      <c r="I26" s="148">
        <v>3000</v>
      </c>
      <c r="J26" s="150"/>
      <c r="K26" s="150"/>
      <c r="L26" s="150">
        <v>1</v>
      </c>
      <c r="M26" s="150">
        <v>3</v>
      </c>
      <c r="N26" s="151">
        <v>68</v>
      </c>
      <c r="O26" s="151">
        <v>59</v>
      </c>
      <c r="P26" s="150">
        <v>64</v>
      </c>
      <c r="Q26" s="150">
        <v>59</v>
      </c>
      <c r="R26" s="150">
        <v>53730250</v>
      </c>
      <c r="S26" s="150">
        <v>12219075</v>
      </c>
    </row>
    <row r="27" spans="1:19" ht="15">
      <c r="A27" s="142">
        <v>15</v>
      </c>
      <c r="B27" s="143" t="s">
        <v>180</v>
      </c>
      <c r="C27" s="150">
        <v>58</v>
      </c>
      <c r="D27" s="150">
        <v>142</v>
      </c>
      <c r="E27" s="150">
        <v>1284</v>
      </c>
      <c r="F27" s="150">
        <v>326</v>
      </c>
      <c r="G27" s="150">
        <v>447</v>
      </c>
      <c r="H27" s="148">
        <v>5720630</v>
      </c>
      <c r="I27" s="148">
        <v>437136</v>
      </c>
      <c r="J27" s="150"/>
      <c r="K27" s="150">
        <v>2</v>
      </c>
      <c r="L27" s="150">
        <v>12</v>
      </c>
      <c r="M27" s="150">
        <v>9</v>
      </c>
      <c r="N27" s="151">
        <v>304</v>
      </c>
      <c r="O27" s="151">
        <v>172</v>
      </c>
      <c r="P27" s="150">
        <v>177</v>
      </c>
      <c r="Q27" s="150">
        <v>174</v>
      </c>
      <c r="R27" s="149">
        <v>1321433</v>
      </c>
      <c r="S27" s="149">
        <v>768147</v>
      </c>
    </row>
    <row r="28" spans="1:19" ht="15">
      <c r="A28" s="142">
        <v>16</v>
      </c>
      <c r="B28" s="143" t="s">
        <v>181</v>
      </c>
      <c r="C28" s="150">
        <v>21</v>
      </c>
      <c r="D28" s="150">
        <v>31</v>
      </c>
      <c r="E28" s="150">
        <v>1563</v>
      </c>
      <c r="F28" s="150">
        <v>615</v>
      </c>
      <c r="G28" s="150">
        <v>577</v>
      </c>
      <c r="H28" s="148">
        <v>629890</v>
      </c>
      <c r="I28" s="148">
        <v>54930</v>
      </c>
      <c r="J28" s="150"/>
      <c r="K28" s="150"/>
      <c r="L28" s="150">
        <v>21</v>
      </c>
      <c r="M28" s="150">
        <v>16</v>
      </c>
      <c r="N28" s="151">
        <v>1905</v>
      </c>
      <c r="O28" s="151">
        <v>661</v>
      </c>
      <c r="P28" s="150">
        <v>718</v>
      </c>
      <c r="Q28" s="150">
        <v>713</v>
      </c>
      <c r="R28" s="150">
        <v>104880755</v>
      </c>
      <c r="S28" s="150">
        <v>102600922</v>
      </c>
    </row>
    <row r="29" spans="1:19" ht="15">
      <c r="A29" s="142">
        <v>17</v>
      </c>
      <c r="B29" s="143" t="s">
        <v>182</v>
      </c>
      <c r="C29" s="150">
        <v>6</v>
      </c>
      <c r="D29" s="150">
        <v>16</v>
      </c>
      <c r="E29" s="150">
        <v>756</v>
      </c>
      <c r="F29" s="150">
        <v>204</v>
      </c>
      <c r="G29" s="150">
        <v>389</v>
      </c>
      <c r="H29" s="148">
        <v>892500</v>
      </c>
      <c r="I29" s="148">
        <v>26850</v>
      </c>
      <c r="J29" s="150"/>
      <c r="K29" s="150"/>
      <c r="L29" s="150">
        <v>11</v>
      </c>
      <c r="M29" s="150">
        <v>9</v>
      </c>
      <c r="N29" s="151">
        <v>265</v>
      </c>
      <c r="O29" s="151">
        <v>71</v>
      </c>
      <c r="P29" s="150">
        <v>90</v>
      </c>
      <c r="Q29" s="150">
        <v>87</v>
      </c>
      <c r="R29" s="150">
        <v>1416548</v>
      </c>
      <c r="S29" s="150">
        <v>938597</v>
      </c>
    </row>
    <row r="30" spans="1:19" ht="15.75">
      <c r="A30" s="142">
        <v>18</v>
      </c>
      <c r="B30" s="143" t="s">
        <v>183</v>
      </c>
      <c r="C30" s="150">
        <v>2</v>
      </c>
      <c r="D30" s="150">
        <v>12</v>
      </c>
      <c r="E30" s="150">
        <v>461</v>
      </c>
      <c r="F30" s="150">
        <v>110</v>
      </c>
      <c r="G30" s="150">
        <v>300</v>
      </c>
      <c r="H30" s="148">
        <v>362400</v>
      </c>
      <c r="I30" s="257">
        <v>0</v>
      </c>
      <c r="J30" s="150"/>
      <c r="K30" s="150"/>
      <c r="L30" s="150">
        <v>11</v>
      </c>
      <c r="M30" s="150">
        <v>2</v>
      </c>
      <c r="N30" s="151">
        <v>46</v>
      </c>
      <c r="O30" s="151">
        <v>44</v>
      </c>
      <c r="P30" s="150">
        <v>44</v>
      </c>
      <c r="Q30" s="150">
        <v>44</v>
      </c>
      <c r="R30" s="150">
        <v>279808</v>
      </c>
      <c r="S30" s="150">
        <v>2900300</v>
      </c>
    </row>
    <row r="31" spans="1:19" ht="15">
      <c r="A31" s="142">
        <v>19</v>
      </c>
      <c r="B31" s="144" t="s">
        <v>201</v>
      </c>
      <c r="C31" s="150">
        <v>102</v>
      </c>
      <c r="D31" s="150">
        <v>233</v>
      </c>
      <c r="E31" s="150">
        <v>4934</v>
      </c>
      <c r="F31" s="150">
        <v>1020</v>
      </c>
      <c r="G31" s="150">
        <v>2550</v>
      </c>
      <c r="H31" s="148">
        <v>11000000</v>
      </c>
      <c r="I31" s="148">
        <v>882000</v>
      </c>
      <c r="J31" s="150"/>
      <c r="K31" s="150"/>
      <c r="L31" s="150">
        <v>12</v>
      </c>
      <c r="M31" s="150">
        <v>12</v>
      </c>
      <c r="N31" s="151">
        <v>704</v>
      </c>
      <c r="O31" s="151">
        <v>140</v>
      </c>
      <c r="P31" s="150">
        <v>140</v>
      </c>
      <c r="Q31" s="150">
        <v>140</v>
      </c>
      <c r="R31" s="150">
        <v>4024828</v>
      </c>
      <c r="S31" s="150">
        <v>2173724</v>
      </c>
    </row>
    <row r="32" spans="1:19" ht="15">
      <c r="A32" s="142">
        <v>20</v>
      </c>
      <c r="B32" s="144" t="s">
        <v>202</v>
      </c>
      <c r="C32" s="150">
        <v>22</v>
      </c>
      <c r="D32" s="150">
        <v>37</v>
      </c>
      <c r="E32" s="150">
        <v>1485</v>
      </c>
      <c r="F32" s="150">
        <v>574</v>
      </c>
      <c r="G32" s="150">
        <v>714</v>
      </c>
      <c r="H32" s="148">
        <v>1466000</v>
      </c>
      <c r="I32" s="148">
        <v>185493</v>
      </c>
      <c r="J32" s="150"/>
      <c r="K32" s="150"/>
      <c r="L32" s="150">
        <v>12</v>
      </c>
      <c r="M32" s="150">
        <v>11</v>
      </c>
      <c r="N32" s="151">
        <v>727</v>
      </c>
      <c r="O32" s="151">
        <v>256</v>
      </c>
      <c r="P32" s="150">
        <v>264</v>
      </c>
      <c r="Q32" s="150">
        <v>264</v>
      </c>
      <c r="R32" s="150">
        <f>26901902+1156535+554481</f>
        <v>28612918</v>
      </c>
      <c r="S32" s="150">
        <v>26864902</v>
      </c>
    </row>
    <row r="33" spans="1:19" ht="15">
      <c r="A33" s="142">
        <v>21</v>
      </c>
      <c r="B33" s="144" t="s">
        <v>203</v>
      </c>
      <c r="C33" s="150">
        <v>9</v>
      </c>
      <c r="D33" s="150">
        <v>23</v>
      </c>
      <c r="E33" s="239">
        <v>524</v>
      </c>
      <c r="F33" s="150">
        <v>143</v>
      </c>
      <c r="G33" s="150">
        <v>268</v>
      </c>
      <c r="H33" s="148">
        <v>152881</v>
      </c>
      <c r="I33" s="148">
        <v>121153</v>
      </c>
      <c r="J33" s="150"/>
      <c r="K33" s="150"/>
      <c r="L33" s="150">
        <v>2</v>
      </c>
      <c r="M33" s="150">
        <v>3</v>
      </c>
      <c r="N33" s="151">
        <v>165</v>
      </c>
      <c r="O33" s="151">
        <v>56</v>
      </c>
      <c r="P33" s="150">
        <v>118</v>
      </c>
      <c r="Q33" s="150">
        <v>61</v>
      </c>
      <c r="R33" s="150">
        <v>965682</v>
      </c>
      <c r="S33" s="150">
        <v>94632</v>
      </c>
    </row>
    <row r="34" spans="1:19" ht="15.75">
      <c r="A34" s="142">
        <v>22</v>
      </c>
      <c r="B34" s="144" t="s">
        <v>204</v>
      </c>
      <c r="C34" s="150">
        <v>4</v>
      </c>
      <c r="D34" s="150">
        <v>6</v>
      </c>
      <c r="E34" s="150">
        <v>245</v>
      </c>
      <c r="F34" s="150">
        <v>104</v>
      </c>
      <c r="G34" s="150">
        <v>118</v>
      </c>
      <c r="H34" s="148">
        <v>142050</v>
      </c>
      <c r="I34" s="257">
        <v>0</v>
      </c>
      <c r="J34" s="150"/>
      <c r="K34" s="150"/>
      <c r="L34" s="150">
        <v>1</v>
      </c>
      <c r="M34" s="150">
        <v>4</v>
      </c>
      <c r="N34" s="151">
        <v>48</v>
      </c>
      <c r="O34" s="150">
        <v>39</v>
      </c>
      <c r="P34" s="150">
        <v>184</v>
      </c>
      <c r="Q34" s="150">
        <v>117</v>
      </c>
      <c r="R34" s="150">
        <v>115256</v>
      </c>
      <c r="S34" s="150">
        <v>34613</v>
      </c>
    </row>
    <row r="35" spans="1:19" ht="15">
      <c r="A35" s="142">
        <v>23</v>
      </c>
      <c r="B35" s="144" t="s">
        <v>205</v>
      </c>
      <c r="C35" s="150">
        <v>1</v>
      </c>
      <c r="D35" s="150">
        <v>6</v>
      </c>
      <c r="E35" s="240">
        <v>184</v>
      </c>
      <c r="F35" s="150">
        <v>70</v>
      </c>
      <c r="G35" s="150">
        <v>84</v>
      </c>
      <c r="H35" s="148">
        <v>130000</v>
      </c>
      <c r="I35" s="148">
        <v>11080</v>
      </c>
      <c r="J35" s="150"/>
      <c r="K35" s="150"/>
      <c r="L35" s="150">
        <v>4</v>
      </c>
      <c r="M35" s="150">
        <v>5</v>
      </c>
      <c r="N35" s="150">
        <v>121</v>
      </c>
      <c r="O35" s="150">
        <v>49</v>
      </c>
      <c r="P35" s="151">
        <v>129</v>
      </c>
      <c r="Q35" s="151">
        <v>129</v>
      </c>
      <c r="R35" s="168">
        <v>172866</v>
      </c>
      <c r="S35" s="168">
        <v>14929</v>
      </c>
    </row>
    <row r="36" spans="1:21" ht="15.75">
      <c r="A36" s="142">
        <v>24</v>
      </c>
      <c r="B36" s="144" t="s">
        <v>206</v>
      </c>
      <c r="C36" s="150">
        <v>855</v>
      </c>
      <c r="D36" s="150">
        <v>2215</v>
      </c>
      <c r="E36" s="150">
        <v>34214</v>
      </c>
      <c r="F36" s="150">
        <v>6212</v>
      </c>
      <c r="G36" s="150">
        <v>13267</v>
      </c>
      <c r="H36" s="148">
        <v>330795000</v>
      </c>
      <c r="I36" s="148">
        <v>34570000</v>
      </c>
      <c r="J36" s="150">
        <v>56</v>
      </c>
      <c r="K36" s="150"/>
      <c r="L36" s="150">
        <v>70</v>
      </c>
      <c r="M36" s="151">
        <v>135</v>
      </c>
      <c r="N36" s="151">
        <v>401</v>
      </c>
      <c r="O36" s="257">
        <v>0</v>
      </c>
      <c r="P36" s="150">
        <v>662</v>
      </c>
      <c r="Q36" s="150">
        <v>648</v>
      </c>
      <c r="R36" s="150">
        <v>4380595745</v>
      </c>
      <c r="S36" s="257"/>
      <c r="T36" s="14">
        <f>5850000</f>
        <v>5850000</v>
      </c>
      <c r="U36" s="232">
        <f>T12/T36</f>
        <v>115.80193217076929</v>
      </c>
    </row>
    <row r="37" spans="1:21" ht="15">
      <c r="A37" s="142">
        <v>25</v>
      </c>
      <c r="B37" s="144" t="s">
        <v>207</v>
      </c>
      <c r="C37" s="150">
        <v>10</v>
      </c>
      <c r="D37" s="150">
        <v>27</v>
      </c>
      <c r="E37" s="150">
        <v>294</v>
      </c>
      <c r="F37" s="150">
        <v>75</v>
      </c>
      <c r="G37" s="150">
        <v>182</v>
      </c>
      <c r="H37" s="148">
        <v>235272.726</v>
      </c>
      <c r="I37" s="148">
        <v>12927.272</v>
      </c>
      <c r="J37" s="150"/>
      <c r="K37" s="150"/>
      <c r="L37" s="150">
        <v>5</v>
      </c>
      <c r="M37" s="150">
        <v>6</v>
      </c>
      <c r="N37" s="151">
        <v>190</v>
      </c>
      <c r="O37" s="151">
        <v>139</v>
      </c>
      <c r="P37" s="150">
        <v>531</v>
      </c>
      <c r="Q37" s="150">
        <v>531</v>
      </c>
      <c r="R37" s="150">
        <v>1959454.4</v>
      </c>
      <c r="S37" s="150">
        <v>298121.67</v>
      </c>
      <c r="U37" s="232">
        <f>R36/T36</f>
        <v>748.8197854700854</v>
      </c>
    </row>
    <row r="38" spans="1:19" ht="15">
      <c r="A38" s="142">
        <v>26</v>
      </c>
      <c r="B38" s="144" t="s">
        <v>208</v>
      </c>
      <c r="C38" s="150">
        <v>18</v>
      </c>
      <c r="D38" s="150">
        <v>38</v>
      </c>
      <c r="E38" s="150">
        <v>946</v>
      </c>
      <c r="F38" s="150">
        <v>245</v>
      </c>
      <c r="G38" s="150">
        <v>518</v>
      </c>
      <c r="H38" s="148">
        <v>2191810</v>
      </c>
      <c r="I38" s="148">
        <v>204535</v>
      </c>
      <c r="J38" s="150"/>
      <c r="K38" s="150"/>
      <c r="L38" s="150">
        <v>16</v>
      </c>
      <c r="M38" s="151">
        <v>13</v>
      </c>
      <c r="N38" s="151">
        <v>226</v>
      </c>
      <c r="O38" s="151">
        <v>219</v>
      </c>
      <c r="P38" s="150">
        <v>335</v>
      </c>
      <c r="Q38" s="150">
        <v>335</v>
      </c>
      <c r="R38" s="150">
        <v>3091949</v>
      </c>
      <c r="S38" s="151">
        <v>39378</v>
      </c>
    </row>
    <row r="39" spans="1:19" ht="15">
      <c r="A39" s="142">
        <v>27</v>
      </c>
      <c r="B39" s="144" t="s">
        <v>209</v>
      </c>
      <c r="C39" s="150">
        <v>45</v>
      </c>
      <c r="D39" s="150">
        <v>129</v>
      </c>
      <c r="E39" s="150">
        <v>3834</v>
      </c>
      <c r="F39" s="150">
        <v>920</v>
      </c>
      <c r="G39" s="150">
        <v>2143</v>
      </c>
      <c r="H39" s="148">
        <v>9109265</v>
      </c>
      <c r="I39" s="148">
        <v>879860</v>
      </c>
      <c r="J39" s="150"/>
      <c r="K39" s="150"/>
      <c r="L39" s="150">
        <v>19</v>
      </c>
      <c r="M39" s="150">
        <v>15</v>
      </c>
      <c r="N39" s="151">
        <v>171</v>
      </c>
      <c r="O39" s="151">
        <v>115</v>
      </c>
      <c r="P39" s="150">
        <v>251</v>
      </c>
      <c r="Q39" s="150">
        <v>191</v>
      </c>
      <c r="R39" s="150">
        <v>11279544</v>
      </c>
      <c r="S39" s="150">
        <v>5727895</v>
      </c>
    </row>
    <row r="40" spans="1:19" ht="15">
      <c r="A40" s="142">
        <v>28</v>
      </c>
      <c r="B40" s="144" t="s">
        <v>210</v>
      </c>
      <c r="C40" s="150">
        <v>7</v>
      </c>
      <c r="D40" s="150">
        <v>9</v>
      </c>
      <c r="E40" s="150">
        <v>681</v>
      </c>
      <c r="F40" s="150">
        <v>191</v>
      </c>
      <c r="G40" s="150">
        <v>338</v>
      </c>
      <c r="H40" s="148">
        <v>156000</v>
      </c>
      <c r="I40" s="148">
        <v>6000</v>
      </c>
      <c r="J40" s="150"/>
      <c r="K40" s="150"/>
      <c r="L40" s="150">
        <v>6</v>
      </c>
      <c r="M40" s="150">
        <v>3</v>
      </c>
      <c r="N40" s="151">
        <v>166</v>
      </c>
      <c r="O40" s="151">
        <v>21</v>
      </c>
      <c r="P40" s="150">
        <v>21</v>
      </c>
      <c r="Q40" s="150">
        <v>21</v>
      </c>
      <c r="R40" s="150">
        <v>186106</v>
      </c>
      <c r="S40" s="150">
        <v>26604</v>
      </c>
    </row>
    <row r="41" spans="1:19" ht="15.75">
      <c r="A41" s="142">
        <v>29</v>
      </c>
      <c r="B41" s="144" t="s">
        <v>211</v>
      </c>
      <c r="C41" s="150">
        <v>5</v>
      </c>
      <c r="D41" s="150">
        <v>7</v>
      </c>
      <c r="E41" s="150">
        <v>344</v>
      </c>
      <c r="F41" s="150">
        <v>76</v>
      </c>
      <c r="G41" s="150">
        <v>167</v>
      </c>
      <c r="H41" s="148">
        <v>70380</v>
      </c>
      <c r="I41" s="257">
        <v>0</v>
      </c>
      <c r="J41" s="150"/>
      <c r="K41" s="150"/>
      <c r="L41" s="150">
        <v>7</v>
      </c>
      <c r="M41" s="150">
        <v>5</v>
      </c>
      <c r="N41" s="151">
        <v>123</v>
      </c>
      <c r="O41" s="151">
        <v>81</v>
      </c>
      <c r="P41" s="150">
        <v>183</v>
      </c>
      <c r="Q41" s="150">
        <v>84</v>
      </c>
      <c r="R41" s="150">
        <v>427775</v>
      </c>
      <c r="S41" s="150">
        <v>194739</v>
      </c>
    </row>
    <row r="42" spans="1:19" ht="15.75">
      <c r="A42" s="142">
        <v>30</v>
      </c>
      <c r="B42" s="144" t="s">
        <v>212</v>
      </c>
      <c r="C42" s="150">
        <v>4</v>
      </c>
      <c r="D42" s="150">
        <v>20</v>
      </c>
      <c r="E42" s="150">
        <v>501</v>
      </c>
      <c r="F42" s="150">
        <v>67</v>
      </c>
      <c r="G42" s="150">
        <v>266</v>
      </c>
      <c r="H42" s="257">
        <v>0</v>
      </c>
      <c r="I42" s="257">
        <v>0</v>
      </c>
      <c r="J42" s="150"/>
      <c r="K42" s="150"/>
      <c r="L42" s="150">
        <v>2</v>
      </c>
      <c r="M42" s="150">
        <v>3</v>
      </c>
      <c r="N42" s="151">
        <v>91</v>
      </c>
      <c r="O42" s="151">
        <v>91</v>
      </c>
      <c r="P42" s="151">
        <v>92</v>
      </c>
      <c r="Q42" s="151">
        <v>92</v>
      </c>
      <c r="R42" s="151">
        <v>612392</v>
      </c>
      <c r="S42" s="151">
        <v>128603</v>
      </c>
    </row>
    <row r="43" spans="1:19" ht="21" customHeight="1">
      <c r="A43" s="142">
        <v>31</v>
      </c>
      <c r="B43" s="144" t="s">
        <v>213</v>
      </c>
      <c r="C43" s="150">
        <v>26</v>
      </c>
      <c r="D43" s="150">
        <v>58</v>
      </c>
      <c r="E43" s="150">
        <v>908</v>
      </c>
      <c r="F43" s="150">
        <v>256</v>
      </c>
      <c r="G43" s="150">
        <v>377</v>
      </c>
      <c r="H43" s="148">
        <v>1893556.727</v>
      </c>
      <c r="I43" s="148">
        <v>184084.287</v>
      </c>
      <c r="J43" s="150"/>
      <c r="K43" s="150"/>
      <c r="L43" s="150">
        <v>14</v>
      </c>
      <c r="M43" s="150">
        <v>11</v>
      </c>
      <c r="N43" s="150">
        <v>222</v>
      </c>
      <c r="O43" s="150">
        <v>94</v>
      </c>
      <c r="P43" s="150">
        <v>438</v>
      </c>
      <c r="Q43" s="150">
        <v>438</v>
      </c>
      <c r="R43" s="150">
        <v>15763036</v>
      </c>
      <c r="S43" s="150">
        <v>13355742</v>
      </c>
    </row>
    <row r="44" spans="1:19" ht="15">
      <c r="A44" s="142">
        <v>32</v>
      </c>
      <c r="B44" s="144" t="s">
        <v>214</v>
      </c>
      <c r="C44" s="150">
        <v>22</v>
      </c>
      <c r="D44" s="150">
        <v>34</v>
      </c>
      <c r="E44" s="150">
        <v>1025</v>
      </c>
      <c r="F44" s="150">
        <v>611</v>
      </c>
      <c r="G44" s="150">
        <v>158</v>
      </c>
      <c r="H44" s="148">
        <v>3067500</v>
      </c>
      <c r="I44" s="148">
        <v>135374</v>
      </c>
      <c r="J44" s="150"/>
      <c r="K44" s="150"/>
      <c r="L44" s="150">
        <v>17</v>
      </c>
      <c r="M44" s="150">
        <v>7</v>
      </c>
      <c r="N44" s="151">
        <v>151</v>
      </c>
      <c r="O44" s="151">
        <v>83</v>
      </c>
      <c r="P44" s="150">
        <v>201</v>
      </c>
      <c r="Q44" s="150">
        <v>195</v>
      </c>
      <c r="R44" s="150">
        <v>4532474</v>
      </c>
      <c r="S44" s="150">
        <v>2718682</v>
      </c>
    </row>
    <row r="45" spans="1:19" ht="15">
      <c r="A45" s="142">
        <v>33</v>
      </c>
      <c r="B45" s="144" t="s">
        <v>215</v>
      </c>
      <c r="C45" s="150">
        <v>2</v>
      </c>
      <c r="D45" s="150">
        <v>6</v>
      </c>
      <c r="E45" s="150">
        <f>313</f>
        <v>313</v>
      </c>
      <c r="F45" s="150">
        <v>95</v>
      </c>
      <c r="G45" s="150">
        <v>130</v>
      </c>
      <c r="H45" s="148">
        <v>30300</v>
      </c>
      <c r="I45" s="148">
        <v>3030</v>
      </c>
      <c r="J45" s="150"/>
      <c r="K45" s="150"/>
      <c r="L45" s="150">
        <v>8</v>
      </c>
      <c r="M45" s="150">
        <v>6</v>
      </c>
      <c r="N45" s="151">
        <v>252</v>
      </c>
      <c r="O45" s="151">
        <v>142</v>
      </c>
      <c r="P45" s="150">
        <v>170</v>
      </c>
      <c r="Q45" s="150">
        <v>153</v>
      </c>
      <c r="R45" s="150">
        <v>2149674</v>
      </c>
      <c r="S45" s="150">
        <v>938799</v>
      </c>
    </row>
    <row r="46" spans="1:19" ht="15.75">
      <c r="A46" s="142">
        <v>34</v>
      </c>
      <c r="B46" s="144" t="s">
        <v>216</v>
      </c>
      <c r="C46" s="257">
        <v>0</v>
      </c>
      <c r="D46" s="150">
        <v>8</v>
      </c>
      <c r="E46" s="150">
        <v>7</v>
      </c>
      <c r="F46" s="150"/>
      <c r="G46" s="150">
        <v>7</v>
      </c>
      <c r="H46" s="148"/>
      <c r="I46" s="148"/>
      <c r="J46" s="150"/>
      <c r="K46" s="150"/>
      <c r="L46" s="150">
        <v>1</v>
      </c>
      <c r="M46" s="150">
        <v>1</v>
      </c>
      <c r="N46" s="151">
        <v>32</v>
      </c>
      <c r="O46" s="151">
        <v>31</v>
      </c>
      <c r="P46" s="150">
        <v>77</v>
      </c>
      <c r="Q46" s="150">
        <v>77</v>
      </c>
      <c r="R46" s="150">
        <v>129022</v>
      </c>
      <c r="S46" s="150">
        <v>64511</v>
      </c>
    </row>
    <row r="47" spans="1:19" ht="15">
      <c r="A47" s="142">
        <v>35</v>
      </c>
      <c r="B47" s="144" t="s">
        <v>217</v>
      </c>
      <c r="C47" s="151">
        <v>38</v>
      </c>
      <c r="D47" s="150">
        <v>69</v>
      </c>
      <c r="E47" s="150">
        <v>1201</v>
      </c>
      <c r="F47" s="150">
        <v>416</v>
      </c>
      <c r="G47" s="150">
        <v>463</v>
      </c>
      <c r="H47" s="148">
        <v>1478252</v>
      </c>
      <c r="I47" s="148">
        <v>116949</v>
      </c>
      <c r="J47" s="150"/>
      <c r="K47" s="150"/>
      <c r="L47" s="150">
        <v>2</v>
      </c>
      <c r="M47" s="150">
        <v>6</v>
      </c>
      <c r="N47" s="151">
        <v>702</v>
      </c>
      <c r="O47" s="151">
        <v>231</v>
      </c>
      <c r="P47" s="150">
        <v>241</v>
      </c>
      <c r="Q47" s="150">
        <v>241</v>
      </c>
      <c r="R47" s="150">
        <v>2533814</v>
      </c>
      <c r="S47" s="150">
        <v>1067525</v>
      </c>
    </row>
    <row r="48" spans="1:19" ht="15">
      <c r="A48" s="142">
        <v>36</v>
      </c>
      <c r="B48" s="145" t="s">
        <v>218</v>
      </c>
      <c r="C48" s="150">
        <v>9</v>
      </c>
      <c r="D48" s="150">
        <v>18</v>
      </c>
      <c r="E48" s="150">
        <v>307</v>
      </c>
      <c r="F48" s="150">
        <v>171</v>
      </c>
      <c r="G48" s="150">
        <v>95</v>
      </c>
      <c r="H48" s="148">
        <v>278880</v>
      </c>
      <c r="I48" s="148"/>
      <c r="J48" s="150"/>
      <c r="K48" s="150"/>
      <c r="L48" s="150">
        <v>12</v>
      </c>
      <c r="M48" s="150">
        <v>4</v>
      </c>
      <c r="N48" s="151">
        <v>47</v>
      </c>
      <c r="O48" s="151">
        <v>37</v>
      </c>
      <c r="P48" s="150">
        <v>407</v>
      </c>
      <c r="Q48" s="150">
        <v>399</v>
      </c>
      <c r="R48" s="150">
        <v>11190958</v>
      </c>
      <c r="S48" s="150">
        <v>5188934</v>
      </c>
    </row>
    <row r="49" spans="1:19" ht="15">
      <c r="A49" s="142">
        <v>37</v>
      </c>
      <c r="B49" s="145" t="s">
        <v>219</v>
      </c>
      <c r="C49" s="150">
        <v>6</v>
      </c>
      <c r="D49" s="150">
        <v>15</v>
      </c>
      <c r="E49" s="150">
        <v>414</v>
      </c>
      <c r="F49" s="150">
        <v>160</v>
      </c>
      <c r="G49" s="150">
        <v>113</v>
      </c>
      <c r="H49" s="148">
        <v>325600</v>
      </c>
      <c r="I49" s="148">
        <v>30000</v>
      </c>
      <c r="J49" s="150"/>
      <c r="K49" s="150"/>
      <c r="L49" s="150">
        <v>5</v>
      </c>
      <c r="M49" s="150">
        <v>7</v>
      </c>
      <c r="N49" s="151">
        <v>103</v>
      </c>
      <c r="O49" s="151">
        <v>75</v>
      </c>
      <c r="P49" s="150">
        <v>240</v>
      </c>
      <c r="Q49" s="150">
        <v>240</v>
      </c>
      <c r="R49" s="150">
        <v>18218993</v>
      </c>
      <c r="S49" s="150">
        <v>17286916</v>
      </c>
    </row>
    <row r="50" spans="1:19" ht="15">
      <c r="A50" s="142">
        <v>38</v>
      </c>
      <c r="B50" s="145" t="s">
        <v>220</v>
      </c>
      <c r="C50" s="150">
        <v>33</v>
      </c>
      <c r="D50" s="150">
        <v>57</v>
      </c>
      <c r="E50" s="150">
        <v>1109</v>
      </c>
      <c r="F50" s="150">
        <v>322</v>
      </c>
      <c r="G50" s="150">
        <v>580</v>
      </c>
      <c r="H50" s="148">
        <v>597083</v>
      </c>
      <c r="I50" s="148">
        <v>54202</v>
      </c>
      <c r="J50" s="150"/>
      <c r="K50" s="150"/>
      <c r="L50" s="150">
        <v>13</v>
      </c>
      <c r="M50" s="150">
        <v>10</v>
      </c>
      <c r="N50" s="151">
        <v>703</v>
      </c>
      <c r="O50" s="151">
        <v>137</v>
      </c>
      <c r="P50" s="150">
        <v>492</v>
      </c>
      <c r="Q50" s="150">
        <v>174</v>
      </c>
      <c r="R50" s="150">
        <v>3248800</v>
      </c>
      <c r="S50" s="150">
        <v>678731</v>
      </c>
    </row>
    <row r="51" spans="1:19" ht="15">
      <c r="A51" s="142">
        <v>39</v>
      </c>
      <c r="B51" s="145" t="s">
        <v>221</v>
      </c>
      <c r="C51" s="150">
        <v>18</v>
      </c>
      <c r="D51" s="150">
        <v>40</v>
      </c>
      <c r="E51" s="150">
        <v>626</v>
      </c>
      <c r="F51" s="150">
        <v>194</v>
      </c>
      <c r="G51" s="150">
        <v>348</v>
      </c>
      <c r="H51" s="148">
        <v>215120</v>
      </c>
      <c r="I51" s="148">
        <v>8718</v>
      </c>
      <c r="J51" s="150"/>
      <c r="K51" s="150"/>
      <c r="L51" s="150">
        <v>1</v>
      </c>
      <c r="M51" s="150">
        <v>3</v>
      </c>
      <c r="N51" s="151">
        <v>74</v>
      </c>
      <c r="O51" s="151">
        <v>15</v>
      </c>
      <c r="P51" s="150">
        <v>61</v>
      </c>
      <c r="Q51" s="150">
        <v>61</v>
      </c>
      <c r="R51" s="150">
        <v>373786</v>
      </c>
      <c r="S51" s="150">
        <v>112136</v>
      </c>
    </row>
    <row r="52" spans="1:19" ht="15">
      <c r="A52" s="142">
        <v>40</v>
      </c>
      <c r="B52" s="145" t="s">
        <v>222</v>
      </c>
      <c r="C52" s="150">
        <v>29</v>
      </c>
      <c r="D52" s="150">
        <v>72</v>
      </c>
      <c r="E52" s="150">
        <v>1012</v>
      </c>
      <c r="F52" s="150">
        <v>328</v>
      </c>
      <c r="G52" s="150">
        <v>315</v>
      </c>
      <c r="H52" s="148">
        <v>1319406</v>
      </c>
      <c r="I52" s="148">
        <v>45250</v>
      </c>
      <c r="J52" s="150"/>
      <c r="K52" s="150"/>
      <c r="L52" s="150">
        <v>27</v>
      </c>
      <c r="M52" s="150">
        <v>12</v>
      </c>
      <c r="N52" s="151">
        <v>230</v>
      </c>
      <c r="O52" s="151">
        <v>179</v>
      </c>
      <c r="P52" s="150">
        <v>577</v>
      </c>
      <c r="Q52" s="150">
        <v>519</v>
      </c>
      <c r="R52" s="150">
        <v>26541381</v>
      </c>
      <c r="S52" s="150">
        <v>24880685</v>
      </c>
    </row>
    <row r="53" spans="1:19" ht="15">
      <c r="A53" s="142">
        <v>41</v>
      </c>
      <c r="B53" s="145" t="s">
        <v>223</v>
      </c>
      <c r="C53" s="150">
        <v>11</v>
      </c>
      <c r="D53" s="150">
        <v>24</v>
      </c>
      <c r="E53" s="150">
        <v>273</v>
      </c>
      <c r="F53" s="150">
        <v>90</v>
      </c>
      <c r="G53" s="150">
        <v>110</v>
      </c>
      <c r="H53" s="148">
        <v>199800</v>
      </c>
      <c r="I53" s="148">
        <v>1850</v>
      </c>
      <c r="J53" s="150"/>
      <c r="K53" s="150"/>
      <c r="L53" s="150">
        <v>2</v>
      </c>
      <c r="M53" s="150">
        <v>4</v>
      </c>
      <c r="N53" s="151">
        <v>63</v>
      </c>
      <c r="O53" s="151">
        <v>29</v>
      </c>
      <c r="P53" s="150">
        <v>64</v>
      </c>
      <c r="Q53" s="150">
        <v>31</v>
      </c>
      <c r="R53" s="150">
        <v>301770</v>
      </c>
      <c r="S53" s="150">
        <v>34193</v>
      </c>
    </row>
    <row r="54" spans="1:19" ht="15.75">
      <c r="A54" s="142">
        <v>42</v>
      </c>
      <c r="B54" s="145" t="s">
        <v>224</v>
      </c>
      <c r="C54" s="122">
        <v>12</v>
      </c>
      <c r="D54" s="122">
        <v>19</v>
      </c>
      <c r="E54" s="122">
        <v>408</v>
      </c>
      <c r="F54" s="122">
        <v>129</v>
      </c>
      <c r="G54" s="122">
        <v>141</v>
      </c>
      <c r="H54" s="65">
        <v>265598</v>
      </c>
      <c r="I54" s="65">
        <v>30395</v>
      </c>
      <c r="J54" s="150"/>
      <c r="K54" s="150"/>
      <c r="L54" s="122">
        <v>9</v>
      </c>
      <c r="M54" s="122">
        <v>2</v>
      </c>
      <c r="N54" s="161">
        <v>81</v>
      </c>
      <c r="O54" s="161">
        <v>55</v>
      </c>
      <c r="P54" s="122">
        <v>262</v>
      </c>
      <c r="Q54" s="122">
        <v>262</v>
      </c>
      <c r="R54" s="122">
        <v>28043368</v>
      </c>
      <c r="S54" s="122">
        <v>26951041</v>
      </c>
    </row>
    <row r="55" spans="1:19" ht="15.75">
      <c r="A55" s="142">
        <v>43</v>
      </c>
      <c r="B55" s="145" t="s">
        <v>225</v>
      </c>
      <c r="C55" s="122">
        <v>12</v>
      </c>
      <c r="D55" s="122">
        <v>42</v>
      </c>
      <c r="E55" s="122">
        <v>372</v>
      </c>
      <c r="F55" s="122">
        <v>190</v>
      </c>
      <c r="G55" s="122">
        <v>84</v>
      </c>
      <c r="H55" s="65">
        <v>935318</v>
      </c>
      <c r="I55" s="65">
        <v>73431</v>
      </c>
      <c r="J55" s="150"/>
      <c r="K55" s="150"/>
      <c r="L55" s="122">
        <v>2</v>
      </c>
      <c r="M55" s="122">
        <v>5</v>
      </c>
      <c r="N55" s="161">
        <v>127</v>
      </c>
      <c r="O55" s="161">
        <v>92</v>
      </c>
      <c r="P55" s="122">
        <v>103</v>
      </c>
      <c r="Q55" s="122">
        <v>92</v>
      </c>
      <c r="R55" s="122">
        <v>658264</v>
      </c>
      <c r="S55" s="122">
        <v>51197</v>
      </c>
    </row>
    <row r="56" spans="1:19" ht="15.75">
      <c r="A56" s="142">
        <v>44</v>
      </c>
      <c r="B56" s="145" t="s">
        <v>226</v>
      </c>
      <c r="C56" s="122">
        <v>9</v>
      </c>
      <c r="D56" s="122">
        <v>14</v>
      </c>
      <c r="E56" s="122">
        <v>300</v>
      </c>
      <c r="F56" s="122">
        <v>188</v>
      </c>
      <c r="G56" s="122">
        <v>34</v>
      </c>
      <c r="H56" s="65">
        <v>402000</v>
      </c>
      <c r="I56" s="65">
        <v>24828</v>
      </c>
      <c r="J56" s="150"/>
      <c r="K56" s="150"/>
      <c r="L56" s="122">
        <v>15</v>
      </c>
      <c r="M56" s="122">
        <v>9</v>
      </c>
      <c r="N56" s="161">
        <v>200</v>
      </c>
      <c r="O56" s="161">
        <v>74</v>
      </c>
      <c r="P56" s="122">
        <v>114</v>
      </c>
      <c r="Q56" s="122">
        <v>114</v>
      </c>
      <c r="R56" s="122">
        <v>6338950</v>
      </c>
      <c r="S56" s="122">
        <v>4335334</v>
      </c>
    </row>
    <row r="57" spans="1:19" s="71" customFormat="1" ht="15.75">
      <c r="A57" s="142">
        <v>45</v>
      </c>
      <c r="B57" s="146" t="s">
        <v>231</v>
      </c>
      <c r="C57" s="122">
        <v>23</v>
      </c>
      <c r="D57" s="122">
        <v>32</v>
      </c>
      <c r="E57" s="122">
        <v>280</v>
      </c>
      <c r="F57" s="122">
        <v>88</v>
      </c>
      <c r="G57" s="122">
        <v>103</v>
      </c>
      <c r="H57" s="65">
        <v>246000</v>
      </c>
      <c r="I57" s="65">
        <v>9469</v>
      </c>
      <c r="J57" s="150"/>
      <c r="K57" s="150"/>
      <c r="L57" s="122">
        <v>7</v>
      </c>
      <c r="M57" s="122">
        <v>3</v>
      </c>
      <c r="N57" s="161">
        <v>83</v>
      </c>
      <c r="O57" s="161">
        <v>69</v>
      </c>
      <c r="P57" s="122">
        <v>134</v>
      </c>
      <c r="Q57" s="122">
        <v>130</v>
      </c>
      <c r="R57" s="122">
        <v>917498</v>
      </c>
      <c r="S57" s="122">
        <v>539900</v>
      </c>
    </row>
    <row r="58" spans="1:19" s="71" customFormat="1" ht="15.75">
      <c r="A58" s="142">
        <v>46</v>
      </c>
      <c r="B58" s="146" t="s">
        <v>232</v>
      </c>
      <c r="C58" s="122">
        <v>16</v>
      </c>
      <c r="D58" s="122">
        <v>35</v>
      </c>
      <c r="E58" s="122">
        <v>172</v>
      </c>
      <c r="F58" s="122">
        <v>140</v>
      </c>
      <c r="G58" s="257">
        <v>0</v>
      </c>
      <c r="H58" s="241"/>
      <c r="I58" s="241"/>
      <c r="J58" s="169"/>
      <c r="K58" s="169"/>
      <c r="L58" s="122">
        <v>20</v>
      </c>
      <c r="M58" s="122">
        <v>5</v>
      </c>
      <c r="N58" s="161">
        <v>345</v>
      </c>
      <c r="O58" s="161">
        <v>281</v>
      </c>
      <c r="P58" s="122">
        <v>485</v>
      </c>
      <c r="Q58" s="122">
        <v>306</v>
      </c>
      <c r="R58" s="122">
        <v>65363422</v>
      </c>
      <c r="S58" s="122">
        <v>61736084</v>
      </c>
    </row>
    <row r="59" spans="1:19" s="71" customFormat="1" ht="15.75">
      <c r="A59" s="142">
        <v>47</v>
      </c>
      <c r="B59" s="146" t="s">
        <v>233</v>
      </c>
      <c r="C59" s="122">
        <v>13</v>
      </c>
      <c r="D59" s="122">
        <v>23</v>
      </c>
      <c r="E59" s="122">
        <v>804</v>
      </c>
      <c r="F59" s="122">
        <v>149</v>
      </c>
      <c r="G59" s="122">
        <v>550</v>
      </c>
      <c r="H59" s="65">
        <v>415127</v>
      </c>
      <c r="I59" s="65">
        <v>45320</v>
      </c>
      <c r="J59" s="150"/>
      <c r="K59" s="150"/>
      <c r="L59" s="122">
        <v>20</v>
      </c>
      <c r="M59" s="122">
        <v>14</v>
      </c>
      <c r="N59" s="161">
        <v>87</v>
      </c>
      <c r="O59" s="161">
        <v>59</v>
      </c>
      <c r="P59" s="122">
        <v>351</v>
      </c>
      <c r="Q59" s="122">
        <v>346</v>
      </c>
      <c r="R59" s="122">
        <v>2497140.415</v>
      </c>
      <c r="S59" s="122">
        <v>1640470.916</v>
      </c>
    </row>
    <row r="60" spans="1:19" s="71" customFormat="1" ht="15.75">
      <c r="A60" s="142">
        <v>48</v>
      </c>
      <c r="B60" s="146" t="s">
        <v>234</v>
      </c>
      <c r="C60" s="122">
        <v>24</v>
      </c>
      <c r="D60" s="122">
        <v>51</v>
      </c>
      <c r="E60" s="122">
        <v>1056</v>
      </c>
      <c r="F60" s="122">
        <v>445</v>
      </c>
      <c r="G60" s="122">
        <v>339</v>
      </c>
      <c r="H60" s="65">
        <v>6084657</v>
      </c>
      <c r="I60" s="65">
        <v>479459</v>
      </c>
      <c r="J60" s="150"/>
      <c r="K60" s="150"/>
      <c r="L60" s="122">
        <v>15</v>
      </c>
      <c r="M60" s="122">
        <v>10</v>
      </c>
      <c r="N60" s="161">
        <v>209</v>
      </c>
      <c r="O60" s="161">
        <v>204</v>
      </c>
      <c r="P60" s="122">
        <v>251</v>
      </c>
      <c r="Q60" s="122">
        <v>246</v>
      </c>
      <c r="R60" s="122">
        <v>9202605</v>
      </c>
      <c r="S60" s="122">
        <v>4898381</v>
      </c>
    </row>
    <row r="61" spans="1:19" s="71" customFormat="1" ht="15.75">
      <c r="A61" s="142">
        <v>49</v>
      </c>
      <c r="B61" s="146" t="s">
        <v>235</v>
      </c>
      <c r="C61" s="122">
        <v>3</v>
      </c>
      <c r="D61" s="122">
        <v>22</v>
      </c>
      <c r="E61" s="122">
        <v>166</v>
      </c>
      <c r="F61" s="122">
        <v>66</v>
      </c>
      <c r="G61" s="122">
        <v>50</v>
      </c>
      <c r="H61" s="65">
        <v>308159</v>
      </c>
      <c r="I61" s="65">
        <v>27816</v>
      </c>
      <c r="J61" s="150"/>
      <c r="K61" s="150"/>
      <c r="L61" s="122">
        <v>10</v>
      </c>
      <c r="M61" s="122">
        <v>8</v>
      </c>
      <c r="N61" s="161">
        <v>59</v>
      </c>
      <c r="O61" s="161">
        <v>54</v>
      </c>
      <c r="P61" s="122">
        <v>323</v>
      </c>
      <c r="Q61" s="122">
        <v>251</v>
      </c>
      <c r="R61" s="122">
        <v>8684640</v>
      </c>
      <c r="S61" s="122">
        <v>6799247</v>
      </c>
    </row>
    <row r="62" spans="1:19" s="71" customFormat="1" ht="15.75">
      <c r="A62" s="142">
        <v>50</v>
      </c>
      <c r="B62" s="146" t="s">
        <v>236</v>
      </c>
      <c r="C62" s="122">
        <v>24</v>
      </c>
      <c r="D62" s="122">
        <v>28</v>
      </c>
      <c r="E62" s="122">
        <v>2813</v>
      </c>
      <c r="F62" s="122">
        <v>94</v>
      </c>
      <c r="G62" s="122">
        <v>2719</v>
      </c>
      <c r="H62" s="65">
        <v>1729650</v>
      </c>
      <c r="I62" s="65">
        <v>224840</v>
      </c>
      <c r="J62" s="150"/>
      <c r="K62" s="150"/>
      <c r="L62" s="122">
        <v>9</v>
      </c>
      <c r="M62" s="122">
        <v>2</v>
      </c>
      <c r="N62" s="161">
        <v>196</v>
      </c>
      <c r="O62" s="161">
        <v>35</v>
      </c>
      <c r="P62" s="122">
        <v>39</v>
      </c>
      <c r="Q62" s="122">
        <v>39</v>
      </c>
      <c r="R62" s="122">
        <v>748178.154</v>
      </c>
      <c r="S62" s="122">
        <v>360913.833</v>
      </c>
    </row>
    <row r="63" spans="1:19" s="71" customFormat="1" ht="15.75">
      <c r="A63" s="142">
        <v>51</v>
      </c>
      <c r="B63" s="147" t="s">
        <v>237</v>
      </c>
      <c r="C63" s="122">
        <v>5</v>
      </c>
      <c r="D63" s="122">
        <v>12</v>
      </c>
      <c r="E63" s="122">
        <v>365</v>
      </c>
      <c r="F63" s="122">
        <v>268</v>
      </c>
      <c r="G63" s="122">
        <v>65</v>
      </c>
      <c r="H63" s="65">
        <v>32000</v>
      </c>
      <c r="I63" s="65">
        <v>2700</v>
      </c>
      <c r="J63" s="150"/>
      <c r="K63" s="150"/>
      <c r="L63" s="122">
        <v>1</v>
      </c>
      <c r="M63" s="122">
        <v>3</v>
      </c>
      <c r="N63" s="161">
        <v>76</v>
      </c>
      <c r="O63" s="161">
        <v>69</v>
      </c>
      <c r="P63" s="122">
        <v>69</v>
      </c>
      <c r="Q63" s="122">
        <v>69</v>
      </c>
      <c r="R63" s="122">
        <v>530914</v>
      </c>
      <c r="S63" s="122">
        <v>79093</v>
      </c>
    </row>
    <row r="64" spans="1:19" s="71" customFormat="1" ht="15.75">
      <c r="A64" s="142">
        <v>52</v>
      </c>
      <c r="B64" s="147" t="s">
        <v>238</v>
      </c>
      <c r="C64" s="122">
        <v>24</v>
      </c>
      <c r="D64" s="122">
        <v>34</v>
      </c>
      <c r="E64" s="122">
        <v>1401</v>
      </c>
      <c r="F64" s="122">
        <v>342</v>
      </c>
      <c r="G64" s="122">
        <v>709</v>
      </c>
      <c r="H64" s="65">
        <v>1278442</v>
      </c>
      <c r="I64" s="65">
        <v>110765</v>
      </c>
      <c r="J64" s="150"/>
      <c r="K64" s="150"/>
      <c r="L64" s="122">
        <v>7</v>
      </c>
      <c r="M64" s="122">
        <v>9</v>
      </c>
      <c r="N64" s="161">
        <v>407</v>
      </c>
      <c r="O64" s="161">
        <v>136</v>
      </c>
      <c r="P64" s="122">
        <v>244</v>
      </c>
      <c r="Q64" s="122">
        <v>238</v>
      </c>
      <c r="R64" s="122">
        <v>11933896</v>
      </c>
      <c r="S64" s="122">
        <v>8276950</v>
      </c>
    </row>
    <row r="65" spans="1:19" s="71" customFormat="1" ht="15.75">
      <c r="A65" s="142">
        <v>53</v>
      </c>
      <c r="B65" s="147" t="s">
        <v>239</v>
      </c>
      <c r="C65" s="122">
        <v>12</v>
      </c>
      <c r="D65" s="122">
        <v>50</v>
      </c>
      <c r="E65" s="122">
        <v>579</v>
      </c>
      <c r="F65" s="122">
        <v>312</v>
      </c>
      <c r="G65" s="122">
        <v>121</v>
      </c>
      <c r="H65" s="65"/>
      <c r="I65" s="65"/>
      <c r="J65" s="150"/>
      <c r="K65" s="150"/>
      <c r="L65" s="122">
        <v>12</v>
      </c>
      <c r="M65" s="122">
        <v>8</v>
      </c>
      <c r="N65" s="161">
        <v>222</v>
      </c>
      <c r="O65" s="161">
        <v>204</v>
      </c>
      <c r="P65" s="122">
        <v>247</v>
      </c>
      <c r="Q65" s="122">
        <v>247</v>
      </c>
      <c r="R65" s="122">
        <v>1238772.285</v>
      </c>
      <c r="S65" s="122">
        <v>420665.587</v>
      </c>
    </row>
    <row r="66" spans="1:19" s="71" customFormat="1" ht="15.75">
      <c r="A66" s="142">
        <v>54</v>
      </c>
      <c r="B66" s="147" t="s">
        <v>240</v>
      </c>
      <c r="C66" s="122">
        <v>19</v>
      </c>
      <c r="D66" s="122">
        <v>29</v>
      </c>
      <c r="E66" s="122">
        <v>283</v>
      </c>
      <c r="F66" s="122">
        <v>91</v>
      </c>
      <c r="G66" s="122">
        <v>192</v>
      </c>
      <c r="H66" s="65"/>
      <c r="I66" s="65"/>
      <c r="J66" s="150"/>
      <c r="K66" s="150"/>
      <c r="L66" s="122">
        <v>1</v>
      </c>
      <c r="M66" s="122">
        <v>2</v>
      </c>
      <c r="N66" s="161">
        <v>139</v>
      </c>
      <c r="O66" s="161">
        <v>121</v>
      </c>
      <c r="P66" s="122">
        <v>131</v>
      </c>
      <c r="Q66" s="122">
        <v>131</v>
      </c>
      <c r="R66" s="122">
        <v>766490.25</v>
      </c>
      <c r="S66" s="122">
        <v>229947.075</v>
      </c>
    </row>
    <row r="67" spans="1:19" s="71" customFormat="1" ht="15.75">
      <c r="A67" s="142">
        <v>55</v>
      </c>
      <c r="B67" s="147" t="s">
        <v>241</v>
      </c>
      <c r="C67" s="122">
        <v>10</v>
      </c>
      <c r="D67" s="122">
        <v>28</v>
      </c>
      <c r="E67" s="122">
        <v>1083</v>
      </c>
      <c r="F67" s="122">
        <v>270</v>
      </c>
      <c r="G67" s="122">
        <v>679</v>
      </c>
      <c r="H67" s="65">
        <v>1034775</v>
      </c>
      <c r="I67" s="65">
        <v>59208</v>
      </c>
      <c r="J67" s="150"/>
      <c r="K67" s="150"/>
      <c r="L67" s="122">
        <v>9</v>
      </c>
      <c r="M67" s="122">
        <v>20</v>
      </c>
      <c r="N67" s="161">
        <v>409</v>
      </c>
      <c r="O67" s="161">
        <v>339</v>
      </c>
      <c r="P67" s="122">
        <v>382</v>
      </c>
      <c r="Q67" s="122">
        <v>339</v>
      </c>
      <c r="R67" s="122">
        <v>4797897</v>
      </c>
      <c r="S67" s="122">
        <v>612507</v>
      </c>
    </row>
    <row r="68" spans="1:19" s="71" customFormat="1" ht="24.75">
      <c r="A68" s="142">
        <v>56</v>
      </c>
      <c r="B68" s="147" t="s">
        <v>242</v>
      </c>
      <c r="C68" s="122">
        <v>17</v>
      </c>
      <c r="D68" s="122">
        <v>27</v>
      </c>
      <c r="E68" s="122">
        <v>670</v>
      </c>
      <c r="F68" s="122">
        <v>157</v>
      </c>
      <c r="G68" s="122">
        <v>354</v>
      </c>
      <c r="H68" s="65">
        <v>1204507</v>
      </c>
      <c r="I68" s="65">
        <v>111943</v>
      </c>
      <c r="J68" s="150"/>
      <c r="K68" s="150"/>
      <c r="L68" s="122">
        <v>5</v>
      </c>
      <c r="M68" s="122">
        <v>13</v>
      </c>
      <c r="N68" s="161">
        <v>533</v>
      </c>
      <c r="O68" s="161">
        <v>505</v>
      </c>
      <c r="P68" s="122">
        <v>505</v>
      </c>
      <c r="Q68" s="122">
        <v>505</v>
      </c>
      <c r="R68" s="122">
        <v>837926</v>
      </c>
      <c r="S68" s="122">
        <v>44229</v>
      </c>
    </row>
    <row r="69" spans="1:19" s="71" customFormat="1" ht="15.75">
      <c r="A69" s="142">
        <v>57</v>
      </c>
      <c r="B69" s="147" t="s">
        <v>243</v>
      </c>
      <c r="C69" s="122">
        <v>34</v>
      </c>
      <c r="D69" s="122">
        <v>56</v>
      </c>
      <c r="E69" s="122">
        <v>3879</v>
      </c>
      <c r="F69" s="122">
        <v>666</v>
      </c>
      <c r="G69" s="122">
        <v>2881</v>
      </c>
      <c r="H69" s="65">
        <v>1242873</v>
      </c>
      <c r="I69" s="65">
        <v>40536</v>
      </c>
      <c r="J69" s="150"/>
      <c r="K69" s="150"/>
      <c r="L69" s="122">
        <v>12</v>
      </c>
      <c r="M69" s="122">
        <v>3</v>
      </c>
      <c r="N69" s="161">
        <v>989</v>
      </c>
      <c r="O69" s="161">
        <v>165</v>
      </c>
      <c r="P69" s="122">
        <v>165</v>
      </c>
      <c r="Q69" s="122">
        <v>165</v>
      </c>
      <c r="R69" s="122">
        <v>26235344.014</v>
      </c>
      <c r="S69" s="122">
        <v>25223657.275</v>
      </c>
    </row>
    <row r="70" spans="1:19" s="71" customFormat="1" ht="24.75">
      <c r="A70" s="142">
        <v>58</v>
      </c>
      <c r="B70" s="147" t="s">
        <v>244</v>
      </c>
      <c r="C70" s="122">
        <f>1395-47</f>
        <v>1348</v>
      </c>
      <c r="D70" s="122">
        <v>3512</v>
      </c>
      <c r="E70" s="122">
        <v>55262</v>
      </c>
      <c r="F70" s="122">
        <v>3243</v>
      </c>
      <c r="G70" s="122">
        <v>43748</v>
      </c>
      <c r="H70" s="65">
        <v>1054525192</v>
      </c>
      <c r="I70" s="65">
        <v>157605767</v>
      </c>
      <c r="J70" s="150">
        <v>47</v>
      </c>
      <c r="K70" s="150">
        <v>116</v>
      </c>
      <c r="L70" s="122">
        <f>1+29+24</f>
        <v>54</v>
      </c>
      <c r="M70" s="122">
        <f>10+70</f>
        <v>80</v>
      </c>
      <c r="N70" s="161">
        <f>410+1469</f>
        <v>1879</v>
      </c>
      <c r="O70" s="161">
        <f>256+390</f>
        <v>646</v>
      </c>
      <c r="P70" s="122">
        <f>278+810+427</f>
        <v>1515</v>
      </c>
      <c r="Q70" s="122">
        <f>256+674+354</f>
        <v>1284</v>
      </c>
      <c r="R70" s="122">
        <f>6557555.984+36151171.911</f>
        <v>42708727.894999996</v>
      </c>
      <c r="S70" s="122"/>
    </row>
    <row r="71" spans="1:19" s="71" customFormat="1" ht="15.75">
      <c r="A71" s="142">
        <v>59</v>
      </c>
      <c r="B71" s="147" t="s">
        <v>245</v>
      </c>
      <c r="C71" s="122">
        <v>10</v>
      </c>
      <c r="D71" s="122">
        <v>15</v>
      </c>
      <c r="E71" s="122">
        <v>1326</v>
      </c>
      <c r="F71" s="122">
        <v>406</v>
      </c>
      <c r="G71" s="122">
        <v>920</v>
      </c>
      <c r="H71" s="122">
        <v>1600000</v>
      </c>
      <c r="I71" s="122">
        <v>160000</v>
      </c>
      <c r="J71" s="150"/>
      <c r="K71" s="150"/>
      <c r="L71" s="122">
        <v>3</v>
      </c>
      <c r="M71" s="122">
        <v>4</v>
      </c>
      <c r="N71" s="161">
        <v>564</v>
      </c>
      <c r="O71" s="161">
        <v>51</v>
      </c>
      <c r="P71" s="122">
        <v>124</v>
      </c>
      <c r="Q71" s="122">
        <v>124</v>
      </c>
      <c r="R71" s="122">
        <v>1746498.611</v>
      </c>
      <c r="S71" s="122">
        <v>1238325.339</v>
      </c>
    </row>
    <row r="72" spans="1:19" s="71" customFormat="1" ht="15.75">
      <c r="A72" s="142">
        <v>60</v>
      </c>
      <c r="B72" s="147" t="s">
        <v>246</v>
      </c>
      <c r="C72" s="122">
        <v>9</v>
      </c>
      <c r="D72" s="122">
        <v>15</v>
      </c>
      <c r="E72" s="122">
        <v>403</v>
      </c>
      <c r="F72" s="122">
        <v>111</v>
      </c>
      <c r="G72" s="122">
        <v>238</v>
      </c>
      <c r="H72" s="65">
        <v>260200</v>
      </c>
      <c r="I72" s="257">
        <v>0</v>
      </c>
      <c r="J72" s="150"/>
      <c r="K72" s="150"/>
      <c r="L72" s="122">
        <v>1</v>
      </c>
      <c r="M72" s="122">
        <v>3</v>
      </c>
      <c r="N72" s="161">
        <v>60</v>
      </c>
      <c r="O72" s="161">
        <v>56</v>
      </c>
      <c r="P72" s="122">
        <v>315</v>
      </c>
      <c r="Q72" s="122">
        <v>311</v>
      </c>
      <c r="R72" s="122">
        <v>1434724</v>
      </c>
      <c r="S72" s="122">
        <v>115186</v>
      </c>
    </row>
    <row r="73" spans="1:19" s="71" customFormat="1" ht="15.75">
      <c r="A73" s="142">
        <v>61</v>
      </c>
      <c r="B73" s="147" t="s">
        <v>247</v>
      </c>
      <c r="C73" s="122">
        <v>33</v>
      </c>
      <c r="D73" s="122">
        <v>54</v>
      </c>
      <c r="E73" s="122">
        <v>1033</v>
      </c>
      <c r="F73" s="122">
        <v>387</v>
      </c>
      <c r="G73" s="122">
        <v>609</v>
      </c>
      <c r="H73" s="65">
        <v>978359.211</v>
      </c>
      <c r="I73" s="65">
        <v>73553.951</v>
      </c>
      <c r="J73" s="150"/>
      <c r="K73" s="150"/>
      <c r="L73" s="122">
        <v>13</v>
      </c>
      <c r="M73" s="122">
        <v>19</v>
      </c>
      <c r="N73" s="161">
        <v>337</v>
      </c>
      <c r="O73" s="161">
        <v>51</v>
      </c>
      <c r="P73" s="122">
        <v>780</v>
      </c>
      <c r="Q73" s="122">
        <v>231</v>
      </c>
      <c r="R73" s="122">
        <v>847928.175</v>
      </c>
      <c r="S73" s="122">
        <v>118949.723</v>
      </c>
    </row>
    <row r="74" spans="1:19" s="71" customFormat="1" ht="18.75" customHeight="1">
      <c r="A74" s="142">
        <v>62</v>
      </c>
      <c r="B74" s="147" t="s">
        <v>248</v>
      </c>
      <c r="C74" s="122">
        <v>11</v>
      </c>
      <c r="D74" s="122">
        <v>19</v>
      </c>
      <c r="E74" s="122">
        <v>820</v>
      </c>
      <c r="F74" s="122">
        <v>114</v>
      </c>
      <c r="G74" s="122">
        <v>427</v>
      </c>
      <c r="H74" s="65">
        <v>642592</v>
      </c>
      <c r="I74" s="65">
        <v>12600</v>
      </c>
      <c r="J74" s="150"/>
      <c r="K74" s="150"/>
      <c r="L74" s="122">
        <f>1+8</f>
        <v>9</v>
      </c>
      <c r="M74" s="122">
        <f>7+15</f>
        <v>22</v>
      </c>
      <c r="N74" s="161">
        <f>191+95</f>
        <v>286</v>
      </c>
      <c r="O74" s="161">
        <f>54+47</f>
        <v>101</v>
      </c>
      <c r="P74" s="122">
        <f>54+74</f>
        <v>128</v>
      </c>
      <c r="Q74" s="122">
        <f>54+48</f>
        <v>102</v>
      </c>
      <c r="R74" s="122">
        <v>2149849</v>
      </c>
      <c r="S74" s="122">
        <v>150036</v>
      </c>
    </row>
    <row r="75" spans="1:19" s="71" customFormat="1" ht="15.75">
      <c r="A75" s="142">
        <v>63</v>
      </c>
      <c r="B75" s="147" t="s">
        <v>249</v>
      </c>
      <c r="C75" s="122">
        <v>6</v>
      </c>
      <c r="D75" s="122">
        <v>10</v>
      </c>
      <c r="E75" s="122">
        <v>276</v>
      </c>
      <c r="F75" s="122">
        <v>77</v>
      </c>
      <c r="G75" s="122">
        <v>102</v>
      </c>
      <c r="H75" s="65">
        <v>46260</v>
      </c>
      <c r="I75" s="65">
        <v>4885</v>
      </c>
      <c r="J75" s="150"/>
      <c r="K75" s="150"/>
      <c r="L75" s="122">
        <v>1</v>
      </c>
      <c r="M75" s="122">
        <v>4</v>
      </c>
      <c r="N75" s="161">
        <v>77</v>
      </c>
      <c r="O75" s="161">
        <v>70</v>
      </c>
      <c r="P75" s="122">
        <v>449</v>
      </c>
      <c r="Q75" s="122">
        <v>449</v>
      </c>
      <c r="R75" s="122">
        <v>392139</v>
      </c>
      <c r="S75" s="122">
        <v>31790</v>
      </c>
    </row>
    <row r="77" ht="12.75" customHeight="1"/>
    <row r="78" spans="1:19" s="102" customFormat="1" ht="12.75">
      <c r="A78" s="32"/>
      <c r="B78" s="32" t="s">
        <v>252</v>
      </c>
      <c r="C78" s="32" t="s">
        <v>303</v>
      </c>
      <c r="D78" s="32"/>
      <c r="E78" s="32"/>
      <c r="F78" s="32"/>
      <c r="G78" s="32"/>
      <c r="H78" s="32"/>
      <c r="I78" s="32"/>
      <c r="J78" s="32"/>
      <c r="K78" s="100"/>
      <c r="L78" s="32"/>
      <c r="M78" s="32"/>
      <c r="N78" s="32"/>
      <c r="O78" s="32"/>
      <c r="P78" s="32"/>
      <c r="Q78" s="32"/>
      <c r="R78" s="32"/>
      <c r="S78" s="101"/>
    </row>
    <row r="79" spans="1:19" s="102" customFormat="1" ht="12.75">
      <c r="A79" s="32"/>
      <c r="B79" s="32" t="s">
        <v>304</v>
      </c>
      <c r="C79" s="32" t="s">
        <v>305</v>
      </c>
      <c r="D79" s="32"/>
      <c r="E79" s="32"/>
      <c r="F79" s="32"/>
      <c r="G79" s="32"/>
      <c r="H79" s="32"/>
      <c r="I79" s="32"/>
      <c r="J79" s="32"/>
      <c r="K79" s="100"/>
      <c r="L79" s="32"/>
      <c r="M79" s="32"/>
      <c r="N79" s="32"/>
      <c r="O79" s="32"/>
      <c r="P79" s="32"/>
      <c r="Q79" s="32"/>
      <c r="R79" s="32"/>
      <c r="S79" s="101"/>
    </row>
    <row r="80" spans="1:18" s="99" customFormat="1" ht="12.75">
      <c r="A80" s="32"/>
      <c r="B80" s="32" t="s">
        <v>278</v>
      </c>
      <c r="C80" s="32" t="s">
        <v>306</v>
      </c>
      <c r="E80" s="32"/>
      <c r="F80" s="32"/>
      <c r="G80" s="32"/>
      <c r="H80" s="32"/>
      <c r="I80" s="32"/>
      <c r="J80" s="32"/>
      <c r="K80" s="100"/>
      <c r="L80" s="32"/>
      <c r="M80" s="32"/>
      <c r="N80" s="32"/>
      <c r="O80" s="32"/>
      <c r="P80" s="32"/>
      <c r="Q80" s="32"/>
      <c r="R80" s="32"/>
    </row>
    <row r="81" spans="1:19" s="102" customFormat="1" ht="12.75">
      <c r="A81" s="32"/>
      <c r="B81" s="32"/>
      <c r="C81" s="32"/>
      <c r="D81" s="32"/>
      <c r="E81" s="32"/>
      <c r="F81" s="32"/>
      <c r="G81" s="32"/>
      <c r="H81" s="32"/>
      <c r="I81" s="32"/>
      <c r="J81" s="32"/>
      <c r="K81" s="100"/>
      <c r="L81" s="32"/>
      <c r="M81" s="32"/>
      <c r="N81" s="32"/>
      <c r="O81" s="32"/>
      <c r="P81" s="32"/>
      <c r="Q81" s="32"/>
      <c r="R81" s="100"/>
      <c r="S81" s="185"/>
    </row>
    <row r="82" spans="1:19" s="102" customFormat="1" ht="12.75">
      <c r="A82" s="32"/>
      <c r="B82" s="195" t="s">
        <v>297</v>
      </c>
      <c r="C82" s="32"/>
      <c r="D82" s="32"/>
      <c r="E82" s="32"/>
      <c r="F82" s="32"/>
      <c r="G82" s="32"/>
      <c r="H82" s="32"/>
      <c r="I82" s="32"/>
      <c r="J82" s="32"/>
      <c r="K82" s="100"/>
      <c r="L82" s="32"/>
      <c r="M82" s="32"/>
      <c r="N82" s="32"/>
      <c r="O82" s="32"/>
      <c r="P82" s="32"/>
      <c r="Q82" s="32"/>
      <c r="R82" s="100"/>
      <c r="S82" s="185"/>
    </row>
    <row r="83" spans="1:19" s="102" customFormat="1" ht="12.75">
      <c r="A83" s="32"/>
      <c r="B83" s="32" t="s">
        <v>292</v>
      </c>
      <c r="C83" s="32"/>
      <c r="D83" s="32"/>
      <c r="E83" s="32"/>
      <c r="F83" s="32"/>
      <c r="G83" s="32"/>
      <c r="H83" s="32"/>
      <c r="I83" s="32"/>
      <c r="J83" s="32"/>
      <c r="K83" s="100"/>
      <c r="L83" s="32"/>
      <c r="M83" s="32"/>
      <c r="N83" s="32"/>
      <c r="O83" s="32"/>
      <c r="P83" s="32"/>
      <c r="Q83" s="32"/>
      <c r="R83" s="100"/>
      <c r="S83" s="185"/>
    </row>
    <row r="84" spans="1:19" s="102" customFormat="1" ht="12.75">
      <c r="A84" s="32"/>
      <c r="B84" s="32" t="s">
        <v>293</v>
      </c>
      <c r="C84" s="32"/>
      <c r="D84" s="32"/>
      <c r="E84" s="32"/>
      <c r="F84" s="32"/>
      <c r="G84" s="32"/>
      <c r="H84" s="32"/>
      <c r="I84" s="32"/>
      <c r="J84" s="32"/>
      <c r="K84" s="100"/>
      <c r="L84" s="32"/>
      <c r="M84" s="32"/>
      <c r="N84" s="32"/>
      <c r="O84" s="32"/>
      <c r="P84" s="32"/>
      <c r="Q84" s="32"/>
      <c r="R84" s="100"/>
      <c r="S84" s="185"/>
    </row>
    <row r="85" spans="1:19" s="102" customFormat="1" ht="12.75">
      <c r="A85" s="32"/>
      <c r="B85" s="195" t="s">
        <v>308</v>
      </c>
      <c r="C85" s="32"/>
      <c r="D85" s="32"/>
      <c r="E85" s="32"/>
      <c r="F85" s="32"/>
      <c r="G85" s="32"/>
      <c r="H85" s="32"/>
      <c r="I85" s="32"/>
      <c r="J85" s="32"/>
      <c r="K85" s="100"/>
      <c r="L85" s="32"/>
      <c r="M85" s="32"/>
      <c r="N85" s="32"/>
      <c r="O85" s="32"/>
      <c r="P85" s="32"/>
      <c r="Q85" s="32"/>
      <c r="R85" s="100"/>
      <c r="S85" s="185"/>
    </row>
    <row r="86" spans="1:19" s="32" customFormat="1" ht="12.75" customHeight="1">
      <c r="A86" s="242"/>
      <c r="B86" s="193" t="s">
        <v>299</v>
      </c>
      <c r="C86" s="193"/>
      <c r="D86" s="193"/>
      <c r="E86" s="193"/>
      <c r="F86" s="193"/>
      <c r="G86" s="193"/>
      <c r="H86" s="243"/>
      <c r="I86" s="243"/>
      <c r="R86" s="100"/>
      <c r="S86" s="100"/>
    </row>
    <row r="87" spans="1:19" s="32" customFormat="1" ht="12.75" customHeight="1">
      <c r="A87" s="242"/>
      <c r="B87" s="194" t="s">
        <v>298</v>
      </c>
      <c r="C87" s="193"/>
      <c r="D87" s="193"/>
      <c r="E87" s="193"/>
      <c r="F87" s="193"/>
      <c r="G87" s="193"/>
      <c r="H87" s="243"/>
      <c r="I87" s="243"/>
      <c r="J87" s="193"/>
      <c r="K87" s="193"/>
      <c r="L87" s="193"/>
      <c r="M87" s="193"/>
      <c r="N87" s="193"/>
      <c r="R87" s="100"/>
      <c r="S87" s="100"/>
    </row>
    <row r="88" spans="1:19" s="32" customFormat="1" ht="12.75" customHeight="1">
      <c r="A88" s="242"/>
      <c r="B88" s="194" t="s">
        <v>296</v>
      </c>
      <c r="C88" s="193"/>
      <c r="D88" s="193"/>
      <c r="E88" s="193"/>
      <c r="F88" s="193"/>
      <c r="G88" s="193"/>
      <c r="H88" s="243"/>
      <c r="I88" s="243"/>
      <c r="J88" s="193"/>
      <c r="K88" s="193"/>
      <c r="R88" s="100"/>
      <c r="S88" s="100"/>
    </row>
    <row r="89" spans="1:19" s="32" customFormat="1" ht="12.75" customHeight="1">
      <c r="A89" s="242"/>
      <c r="B89" s="194" t="s">
        <v>300</v>
      </c>
      <c r="C89" s="193"/>
      <c r="D89" s="193"/>
      <c r="E89" s="193"/>
      <c r="F89" s="193"/>
      <c r="G89" s="193"/>
      <c r="H89" s="243"/>
      <c r="I89" s="243"/>
      <c r="J89" s="193"/>
      <c r="K89" s="193"/>
      <c r="L89" s="193"/>
      <c r="R89" s="100"/>
      <c r="S89" s="100"/>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21.75" customHeight="1"/>
    <row r="135" spans="12:19" ht="18">
      <c r="L135" s="26"/>
      <c r="M135" s="26"/>
      <c r="N135" s="26"/>
      <c r="O135" s="26"/>
      <c r="P135" s="26"/>
      <c r="Q135" s="26"/>
      <c r="R135" s="244"/>
      <c r="S135" s="244"/>
    </row>
    <row r="136" spans="12:19" ht="18">
      <c r="L136" s="26"/>
      <c r="M136" s="26"/>
      <c r="N136" s="26"/>
      <c r="O136" s="26"/>
      <c r="P136" s="26"/>
      <c r="Q136" s="26"/>
      <c r="R136" s="244"/>
      <c r="S136" s="244"/>
    </row>
    <row r="137" spans="12:19" ht="18">
      <c r="L137" s="26"/>
      <c r="M137" s="26"/>
      <c r="N137" s="26"/>
      <c r="O137" s="26"/>
      <c r="P137" s="26"/>
      <c r="Q137" s="26"/>
      <c r="R137" s="244"/>
      <c r="S137" s="244"/>
    </row>
    <row r="138" spans="12:19" ht="18">
      <c r="L138" s="26"/>
      <c r="M138" s="26"/>
      <c r="N138" s="26"/>
      <c r="O138" s="26"/>
      <c r="P138" s="26"/>
      <c r="Q138" s="26"/>
      <c r="R138" s="244"/>
      <c r="S138" s="244"/>
    </row>
    <row r="139" spans="12:19" ht="18">
      <c r="L139" s="26"/>
      <c r="M139" s="26"/>
      <c r="N139" s="26"/>
      <c r="O139" s="26"/>
      <c r="P139" s="26"/>
      <c r="Q139" s="26"/>
      <c r="R139" s="244"/>
      <c r="S139" s="244"/>
    </row>
    <row r="140" spans="12:19" ht="18">
      <c r="L140" s="26"/>
      <c r="M140" s="26"/>
      <c r="N140" s="26"/>
      <c r="O140" s="26"/>
      <c r="P140" s="26"/>
      <c r="Q140" s="26"/>
      <c r="R140" s="244"/>
      <c r="S140" s="244"/>
    </row>
    <row r="141" spans="12:19" ht="18">
      <c r="L141" s="26"/>
      <c r="M141" s="26"/>
      <c r="N141" s="26"/>
      <c r="O141" s="26"/>
      <c r="P141" s="26"/>
      <c r="Q141" s="26"/>
      <c r="R141" s="244"/>
      <c r="S141" s="244"/>
    </row>
    <row r="142" spans="12:19" ht="18">
      <c r="L142" s="26"/>
      <c r="M142" s="26"/>
      <c r="N142" s="26"/>
      <c r="O142" s="26"/>
      <c r="P142" s="26"/>
      <c r="Q142" s="26"/>
      <c r="R142" s="244"/>
      <c r="S142" s="244"/>
    </row>
    <row r="143" spans="12:19" ht="18">
      <c r="L143" s="26"/>
      <c r="M143" s="26"/>
      <c r="N143" s="26"/>
      <c r="O143" s="26"/>
      <c r="P143" s="26"/>
      <c r="Q143" s="26"/>
      <c r="R143" s="244"/>
      <c r="S143" s="244"/>
    </row>
    <row r="144" spans="12:19" ht="18">
      <c r="L144" s="26"/>
      <c r="M144" s="26"/>
      <c r="N144" s="26"/>
      <c r="O144" s="26"/>
      <c r="P144" s="26"/>
      <c r="Q144" s="26"/>
      <c r="R144" s="244"/>
      <c r="S144" s="244"/>
    </row>
    <row r="145" spans="12:19" ht="18">
      <c r="L145" s="26"/>
      <c r="M145" s="26"/>
      <c r="N145" s="26"/>
      <c r="O145" s="26"/>
      <c r="P145" s="26"/>
      <c r="Q145" s="26"/>
      <c r="R145" s="244"/>
      <c r="S145" s="244"/>
    </row>
    <row r="146" spans="12:19" ht="18">
      <c r="L146" s="26"/>
      <c r="M146" s="26"/>
      <c r="N146" s="26"/>
      <c r="O146" s="26"/>
      <c r="P146" s="26"/>
      <c r="Q146" s="26"/>
      <c r="R146" s="244"/>
      <c r="S146" s="244"/>
    </row>
    <row r="147" spans="12:19" ht="18">
      <c r="L147" s="26"/>
      <c r="M147" s="26"/>
      <c r="N147" s="26"/>
      <c r="O147" s="26"/>
      <c r="P147" s="26"/>
      <c r="Q147" s="26"/>
      <c r="R147" s="244"/>
      <c r="S147" s="244"/>
    </row>
    <row r="148" spans="12:19" ht="18">
      <c r="L148" s="26"/>
      <c r="M148" s="26"/>
      <c r="N148" s="26"/>
      <c r="O148" s="26"/>
      <c r="P148" s="26"/>
      <c r="Q148" s="26"/>
      <c r="R148" s="244"/>
      <c r="S148" s="244"/>
    </row>
    <row r="149" spans="12:19" ht="18">
      <c r="L149" s="26"/>
      <c r="M149" s="26"/>
      <c r="N149" s="26"/>
      <c r="O149" s="26"/>
      <c r="P149" s="26"/>
      <c r="Q149" s="26"/>
      <c r="R149" s="244"/>
      <c r="S149" s="244"/>
    </row>
    <row r="150" spans="12:19" ht="18">
      <c r="L150" s="26"/>
      <c r="M150" s="26"/>
      <c r="N150" s="26"/>
      <c r="O150" s="26"/>
      <c r="P150" s="26"/>
      <c r="Q150" s="26"/>
      <c r="R150" s="244"/>
      <c r="S150" s="244"/>
    </row>
    <row r="151" spans="12:19" ht="18">
      <c r="L151" s="26"/>
      <c r="M151" s="26"/>
      <c r="N151" s="26"/>
      <c r="O151" s="26"/>
      <c r="P151" s="26"/>
      <c r="Q151" s="26"/>
      <c r="R151" s="244"/>
      <c r="S151" s="244"/>
    </row>
    <row r="152" spans="12:19" ht="18">
      <c r="L152" s="26"/>
      <c r="M152" s="26"/>
      <c r="N152" s="26"/>
      <c r="O152" s="26"/>
      <c r="P152" s="26"/>
      <c r="Q152" s="26"/>
      <c r="R152" s="244"/>
      <c r="S152" s="244"/>
    </row>
    <row r="153" spans="12:19" ht="18">
      <c r="L153" s="26"/>
      <c r="M153" s="26"/>
      <c r="N153" s="26"/>
      <c r="O153" s="26"/>
      <c r="P153" s="26"/>
      <c r="Q153" s="26"/>
      <c r="R153" s="244"/>
      <c r="S153" s="244"/>
    </row>
    <row r="154" spans="12:19" ht="18">
      <c r="L154" s="26"/>
      <c r="M154" s="26"/>
      <c r="N154" s="26"/>
      <c r="O154" s="26"/>
      <c r="P154" s="26"/>
      <c r="Q154" s="26"/>
      <c r="R154" s="244"/>
      <c r="S154" s="244"/>
    </row>
    <row r="155" spans="12:19" ht="18">
      <c r="L155" s="26"/>
      <c r="M155" s="26"/>
      <c r="N155" s="26"/>
      <c r="O155" s="26"/>
      <c r="P155" s="26"/>
      <c r="Q155" s="26"/>
      <c r="R155" s="244"/>
      <c r="S155" s="244"/>
    </row>
    <row r="156" spans="12:19" ht="18">
      <c r="L156" s="26"/>
      <c r="M156" s="26"/>
      <c r="N156" s="26"/>
      <c r="O156" s="26"/>
      <c r="P156" s="26"/>
      <c r="Q156" s="26"/>
      <c r="R156" s="244"/>
      <c r="S156" s="244"/>
    </row>
    <row r="157" spans="12:19" ht="18">
      <c r="L157" s="26"/>
      <c r="M157" s="26"/>
      <c r="N157" s="26"/>
      <c r="O157" s="26"/>
      <c r="P157" s="26"/>
      <c r="Q157" s="26"/>
      <c r="R157" s="244"/>
      <c r="S157" s="244"/>
    </row>
    <row r="158" spans="12:19" ht="18">
      <c r="L158" s="26"/>
      <c r="M158" s="26"/>
      <c r="N158" s="26"/>
      <c r="O158" s="26"/>
      <c r="P158" s="26"/>
      <c r="Q158" s="26"/>
      <c r="R158" s="244"/>
      <c r="S158" s="244"/>
    </row>
    <row r="159" spans="12:19" ht="18">
      <c r="L159" s="26"/>
      <c r="M159" s="26"/>
      <c r="N159" s="26"/>
      <c r="O159" s="26"/>
      <c r="P159" s="26"/>
      <c r="Q159" s="26"/>
      <c r="R159" s="244"/>
      <c r="S159" s="244"/>
    </row>
    <row r="160" spans="12:19" ht="18">
      <c r="L160" s="26"/>
      <c r="M160" s="26"/>
      <c r="N160" s="26"/>
      <c r="O160" s="26"/>
      <c r="P160" s="26"/>
      <c r="Q160" s="26"/>
      <c r="R160" s="244"/>
      <c r="S160" s="244"/>
    </row>
  </sheetData>
  <sheetProtection/>
  <mergeCells count="32">
    <mergeCell ref="A11:B11"/>
    <mergeCell ref="A12:B12"/>
    <mergeCell ref="C7:I7"/>
    <mergeCell ref="C6:K6"/>
    <mergeCell ref="J7:K7"/>
    <mergeCell ref="J8:J10"/>
    <mergeCell ref="K8:K10"/>
    <mergeCell ref="C8:C10"/>
    <mergeCell ref="D8:D10"/>
    <mergeCell ref="E9:E10"/>
    <mergeCell ref="A1:B1"/>
    <mergeCell ref="A3:S3"/>
    <mergeCell ref="A4:S4"/>
    <mergeCell ref="H8:I8"/>
    <mergeCell ref="E8:G8"/>
    <mergeCell ref="R8:S8"/>
    <mergeCell ref="N8:O8"/>
    <mergeCell ref="P8:Q8"/>
    <mergeCell ref="A2:S2"/>
    <mergeCell ref="L6:S7"/>
    <mergeCell ref="H9:H10"/>
    <mergeCell ref="I9:I10"/>
    <mergeCell ref="F9:G9"/>
    <mergeCell ref="A6:B10"/>
    <mergeCell ref="L8:L10"/>
    <mergeCell ref="M8:M10"/>
    <mergeCell ref="O9:O10"/>
    <mergeCell ref="N9:N10"/>
    <mergeCell ref="R9:R10"/>
    <mergeCell ref="S9:S10"/>
    <mergeCell ref="P9:P10"/>
    <mergeCell ref="Q9:Q10"/>
  </mergeCells>
  <printOptions/>
  <pageMargins left="1" right="0.25" top="0.75" bottom="0.5" header="0" footer="0"/>
  <pageSetup horizontalDpi="600" verticalDpi="600" orientation="landscape" paperSize="9" scale="69" r:id="rId2"/>
  <colBreaks count="1" manualBreakCount="1">
    <brk id="19" max="65535" man="1"/>
  </colBreaks>
  <drawing r:id="rId1"/>
</worksheet>
</file>

<file path=xl/worksheets/sheet9.xml><?xml version="1.0" encoding="utf-8"?>
<worksheet xmlns="http://schemas.openxmlformats.org/spreadsheetml/2006/main" xmlns:r="http://schemas.openxmlformats.org/officeDocument/2006/relationships">
  <dimension ref="A1:O151"/>
  <sheetViews>
    <sheetView zoomScalePageLayoutView="0" workbookViewId="0" topLeftCell="A1">
      <pane ySplit="4695" topLeftCell="A96" activePane="bottomLeft" state="split"/>
      <selection pane="topLeft" activeCell="A1" sqref="A1:B1"/>
      <selection pane="bottomLeft" activeCell="D106" sqref="D106"/>
    </sheetView>
  </sheetViews>
  <sheetFormatPr defaultColWidth="9.140625" defaultRowHeight="12.75"/>
  <cols>
    <col min="1" max="1" width="4.421875" style="14" customWidth="1"/>
    <col min="2" max="2" width="21.00390625" style="46" customWidth="1"/>
    <col min="3" max="3" width="8.28125" style="14" customWidth="1"/>
    <col min="4" max="4" width="9.00390625" style="14" customWidth="1"/>
    <col min="5" max="5" width="7.28125" style="14" customWidth="1"/>
    <col min="6" max="6" width="10.140625" style="14" customWidth="1"/>
    <col min="7" max="7" width="8.8515625" style="14" customWidth="1"/>
    <col min="8" max="8" width="9.28125" style="14" customWidth="1"/>
    <col min="9" max="10" width="8.421875" style="14" customWidth="1"/>
    <col min="11" max="11" width="7.57421875" style="14" customWidth="1"/>
    <col min="12" max="12" width="8.28125" style="14" customWidth="1"/>
    <col min="13" max="13" width="7.7109375" style="14" customWidth="1"/>
    <col min="14" max="14" width="8.00390625" style="14" customWidth="1"/>
    <col min="15" max="15" width="8.421875" style="14" customWidth="1"/>
    <col min="16" max="16384" width="9.140625" style="14" customWidth="1"/>
  </cols>
  <sheetData>
    <row r="1" spans="1:2" ht="16.5">
      <c r="A1" s="415" t="s">
        <v>7</v>
      </c>
      <c r="B1" s="415"/>
    </row>
    <row r="2" spans="1:15" ht="18.75">
      <c r="A2" s="416" t="s">
        <v>88</v>
      </c>
      <c r="B2" s="416"/>
      <c r="C2" s="416"/>
      <c r="D2" s="416"/>
      <c r="E2" s="416"/>
      <c r="F2" s="416"/>
      <c r="G2" s="416"/>
      <c r="H2" s="416"/>
      <c r="I2" s="416"/>
      <c r="J2" s="416"/>
      <c r="K2" s="416"/>
      <c r="L2" s="416"/>
      <c r="M2" s="416"/>
      <c r="N2" s="416"/>
      <c r="O2" s="416"/>
    </row>
    <row r="3" spans="1:15" ht="18.75">
      <c r="A3" s="384" t="s">
        <v>152</v>
      </c>
      <c r="B3" s="384"/>
      <c r="C3" s="384"/>
      <c r="D3" s="384"/>
      <c r="E3" s="384"/>
      <c r="F3" s="384"/>
      <c r="G3" s="384"/>
      <c r="H3" s="384"/>
      <c r="I3" s="384"/>
      <c r="J3" s="384"/>
      <c r="K3" s="384"/>
      <c r="L3" s="384"/>
      <c r="M3" s="384"/>
      <c r="N3" s="384"/>
      <c r="O3" s="384"/>
    </row>
    <row r="4" spans="1:15" ht="18.75">
      <c r="A4" s="413" t="s">
        <v>283</v>
      </c>
      <c r="B4" s="414"/>
      <c r="C4" s="414"/>
      <c r="D4" s="414"/>
      <c r="E4" s="414"/>
      <c r="F4" s="414"/>
      <c r="G4" s="414"/>
      <c r="H4" s="414"/>
      <c r="I4" s="414"/>
      <c r="J4" s="414"/>
      <c r="K4" s="414"/>
      <c r="L4" s="414"/>
      <c r="M4" s="414"/>
      <c r="N4" s="414"/>
      <c r="O4" s="414"/>
    </row>
    <row r="5" spans="1:15" ht="18.75">
      <c r="A5" s="53"/>
      <c r="B5" s="53"/>
      <c r="C5" s="53"/>
      <c r="D5" s="53"/>
      <c r="E5" s="53"/>
      <c r="F5" s="53"/>
      <c r="G5" s="53"/>
      <c r="H5" s="53"/>
      <c r="I5" s="53"/>
      <c r="J5" s="53"/>
      <c r="K5" s="53"/>
      <c r="L5" s="53"/>
      <c r="M5" s="53"/>
      <c r="N5" s="53"/>
      <c r="O5" s="53"/>
    </row>
    <row r="6" spans="1:15" s="32" customFormat="1" ht="12.75">
      <c r="A6" s="281"/>
      <c r="B6" s="282"/>
      <c r="C6" s="319" t="s">
        <v>85</v>
      </c>
      <c r="D6" s="319"/>
      <c r="E6" s="319"/>
      <c r="F6" s="319" t="s">
        <v>86</v>
      </c>
      <c r="G6" s="319"/>
      <c r="H6" s="319"/>
      <c r="I6" s="319"/>
      <c r="J6" s="319"/>
      <c r="K6" s="319"/>
      <c r="L6" s="319"/>
      <c r="M6" s="319"/>
      <c r="N6" s="319"/>
      <c r="O6" s="319"/>
    </row>
    <row r="7" spans="1:15" s="32" customFormat="1" ht="12.75" customHeight="1">
      <c r="A7" s="283"/>
      <c r="B7" s="284"/>
      <c r="C7" s="289" t="s">
        <v>9</v>
      </c>
      <c r="D7" s="298" t="s">
        <v>44</v>
      </c>
      <c r="E7" s="298"/>
      <c r="F7" s="298" t="s">
        <v>9</v>
      </c>
      <c r="G7" s="298" t="s">
        <v>44</v>
      </c>
      <c r="H7" s="298"/>
      <c r="I7" s="298"/>
      <c r="J7" s="298"/>
      <c r="K7" s="298"/>
      <c r="L7" s="298"/>
      <c r="M7" s="298"/>
      <c r="N7" s="298"/>
      <c r="O7" s="298"/>
    </row>
    <row r="8" spans="1:15" s="32" customFormat="1" ht="12.75">
      <c r="A8" s="283"/>
      <c r="B8" s="284"/>
      <c r="C8" s="290"/>
      <c r="D8" s="289" t="s">
        <v>28</v>
      </c>
      <c r="E8" s="289" t="s">
        <v>29</v>
      </c>
      <c r="F8" s="298"/>
      <c r="G8" s="298" t="s">
        <v>30</v>
      </c>
      <c r="H8" s="298"/>
      <c r="I8" s="298"/>
      <c r="J8" s="298"/>
      <c r="K8" s="298"/>
      <c r="L8" s="298" t="s">
        <v>31</v>
      </c>
      <c r="M8" s="298"/>
      <c r="N8" s="298"/>
      <c r="O8" s="298"/>
    </row>
    <row r="9" spans="1:15" s="32" customFormat="1" ht="12.75">
      <c r="A9" s="283"/>
      <c r="B9" s="284"/>
      <c r="C9" s="290"/>
      <c r="D9" s="290"/>
      <c r="E9" s="290"/>
      <c r="F9" s="298"/>
      <c r="G9" s="298" t="s">
        <v>9</v>
      </c>
      <c r="H9" s="298" t="s">
        <v>44</v>
      </c>
      <c r="I9" s="298"/>
      <c r="J9" s="298"/>
      <c r="K9" s="298"/>
      <c r="L9" s="298" t="s">
        <v>9</v>
      </c>
      <c r="M9" s="298" t="s">
        <v>44</v>
      </c>
      <c r="N9" s="298"/>
      <c r="O9" s="298"/>
    </row>
    <row r="10" spans="1:15" s="32" customFormat="1" ht="66.75" customHeight="1">
      <c r="A10" s="285"/>
      <c r="B10" s="286"/>
      <c r="C10" s="295"/>
      <c r="D10" s="295"/>
      <c r="E10" s="295"/>
      <c r="F10" s="298"/>
      <c r="G10" s="298"/>
      <c r="H10" s="245" t="s">
        <v>162</v>
      </c>
      <c r="I10" s="245" t="s">
        <v>163</v>
      </c>
      <c r="J10" s="245" t="s">
        <v>164</v>
      </c>
      <c r="K10" s="245" t="s">
        <v>123</v>
      </c>
      <c r="L10" s="298"/>
      <c r="M10" s="245" t="s">
        <v>162</v>
      </c>
      <c r="N10" s="245" t="s">
        <v>163</v>
      </c>
      <c r="O10" s="245" t="s">
        <v>164</v>
      </c>
    </row>
    <row r="11" spans="1:15" s="32" customFormat="1" ht="12.75">
      <c r="A11" s="287" t="s">
        <v>40</v>
      </c>
      <c r="B11" s="288"/>
      <c r="C11" s="43">
        <v>1</v>
      </c>
      <c r="D11" s="43">
        <v>2</v>
      </c>
      <c r="E11" s="43">
        <v>3</v>
      </c>
      <c r="F11" s="43">
        <v>4</v>
      </c>
      <c r="G11" s="43">
        <v>5</v>
      </c>
      <c r="H11" s="43">
        <v>6</v>
      </c>
      <c r="I11" s="43">
        <v>7</v>
      </c>
      <c r="J11" s="43">
        <v>8</v>
      </c>
      <c r="K11" s="43">
        <v>9</v>
      </c>
      <c r="L11" s="43">
        <v>10</v>
      </c>
      <c r="M11" s="43">
        <v>11</v>
      </c>
      <c r="N11" s="43">
        <v>12</v>
      </c>
      <c r="O11" s="43">
        <v>13</v>
      </c>
    </row>
    <row r="12" spans="1:15" ht="18.75" customHeight="1">
      <c r="A12" s="56" t="s">
        <v>97</v>
      </c>
      <c r="B12" s="54"/>
      <c r="C12" s="246">
        <f aca="true" t="shared" si="0" ref="C12:O12">C13+C34</f>
        <v>5399</v>
      </c>
      <c r="D12" s="246">
        <f t="shared" si="0"/>
        <v>4414</v>
      </c>
      <c r="E12" s="246">
        <f t="shared" si="0"/>
        <v>985</v>
      </c>
      <c r="F12" s="246">
        <f t="shared" si="0"/>
        <v>121544</v>
      </c>
      <c r="G12" s="246">
        <f t="shared" si="0"/>
        <v>95525</v>
      </c>
      <c r="H12" s="246">
        <f t="shared" si="0"/>
        <v>43827</v>
      </c>
      <c r="I12" s="246">
        <f t="shared" si="0"/>
        <v>2829</v>
      </c>
      <c r="J12" s="246">
        <f t="shared" si="0"/>
        <v>47738</v>
      </c>
      <c r="K12" s="246">
        <f t="shared" si="0"/>
        <v>1131</v>
      </c>
      <c r="L12" s="203">
        <f t="shared" si="0"/>
        <v>26019</v>
      </c>
      <c r="M12" s="246">
        <f t="shared" si="0"/>
        <v>1980</v>
      </c>
      <c r="N12" s="246">
        <f t="shared" si="0"/>
        <v>5625</v>
      </c>
      <c r="O12" s="246">
        <f t="shared" si="0"/>
        <v>18414</v>
      </c>
    </row>
    <row r="13" spans="1:15" ht="18.75" customHeight="1">
      <c r="A13" s="55" t="s">
        <v>257</v>
      </c>
      <c r="B13" s="55"/>
      <c r="C13" s="224">
        <f aca="true" t="shared" si="1" ref="C13:O13">SUM(C14:C33)</f>
        <v>1493</v>
      </c>
      <c r="D13" s="224">
        <f t="shared" si="1"/>
        <v>1255</v>
      </c>
      <c r="E13" s="224">
        <f t="shared" si="1"/>
        <v>238</v>
      </c>
      <c r="F13" s="224">
        <f t="shared" si="1"/>
        <v>1378</v>
      </c>
      <c r="G13" s="224">
        <f t="shared" si="1"/>
        <v>1365</v>
      </c>
      <c r="H13" s="224">
        <f t="shared" si="1"/>
        <v>821</v>
      </c>
      <c r="I13" s="224">
        <f t="shared" si="1"/>
        <v>421</v>
      </c>
      <c r="J13" s="224">
        <f t="shared" si="1"/>
        <v>94</v>
      </c>
      <c r="K13" s="224">
        <f t="shared" si="1"/>
        <v>29</v>
      </c>
      <c r="L13" s="224">
        <f t="shared" si="1"/>
        <v>13</v>
      </c>
      <c r="M13" s="262">
        <f t="shared" si="1"/>
        <v>0</v>
      </c>
      <c r="N13" s="262">
        <f t="shared" si="1"/>
        <v>0</v>
      </c>
      <c r="O13" s="224">
        <f t="shared" si="1"/>
        <v>13</v>
      </c>
    </row>
    <row r="14" spans="1:15" ht="15">
      <c r="A14" s="87">
        <v>1</v>
      </c>
      <c r="B14" s="120" t="s">
        <v>228</v>
      </c>
      <c r="C14" s="111"/>
      <c r="D14" s="170"/>
      <c r="E14" s="170"/>
      <c r="F14" s="170"/>
      <c r="G14" s="170"/>
      <c r="H14" s="170"/>
      <c r="I14" s="170"/>
      <c r="J14" s="170"/>
      <c r="K14" s="170"/>
      <c r="L14" s="170"/>
      <c r="M14" s="170"/>
      <c r="N14" s="170"/>
      <c r="O14" s="111"/>
    </row>
    <row r="15" spans="1:15" ht="15.75">
      <c r="A15" s="87">
        <v>2</v>
      </c>
      <c r="B15" s="120" t="s">
        <v>192</v>
      </c>
      <c r="C15" s="111">
        <f aca="true" t="shared" si="2" ref="C15:C20">D15+E15</f>
        <v>1</v>
      </c>
      <c r="D15" s="247">
        <v>0</v>
      </c>
      <c r="E15" s="247">
        <v>1</v>
      </c>
      <c r="F15" s="264">
        <f>G15+L15</f>
        <v>0</v>
      </c>
      <c r="G15" s="264">
        <f>H15+I15+J15+K15</f>
        <v>0</v>
      </c>
      <c r="H15" s="247">
        <v>0</v>
      </c>
      <c r="I15" s="247">
        <v>0</v>
      </c>
      <c r="J15" s="247">
        <v>0</v>
      </c>
      <c r="K15" s="247">
        <v>0</v>
      </c>
      <c r="L15" s="264">
        <f>M15+N15+O15</f>
        <v>0</v>
      </c>
      <c r="M15" s="247">
        <v>0</v>
      </c>
      <c r="N15" s="247">
        <v>0</v>
      </c>
      <c r="O15" s="247">
        <v>0</v>
      </c>
    </row>
    <row r="16" spans="1:15" ht="15.75">
      <c r="A16" s="87">
        <v>3</v>
      </c>
      <c r="B16" s="120" t="s">
        <v>193</v>
      </c>
      <c r="C16" s="263">
        <f t="shared" si="2"/>
        <v>0</v>
      </c>
      <c r="D16" s="247">
        <v>0</v>
      </c>
      <c r="E16" s="247">
        <v>0</v>
      </c>
      <c r="F16" s="264">
        <f>G16+L16</f>
        <v>0</v>
      </c>
      <c r="G16" s="264">
        <f>H16+I16+J16+K16</f>
        <v>0</v>
      </c>
      <c r="H16" s="247">
        <v>0</v>
      </c>
      <c r="I16" s="247">
        <v>0</v>
      </c>
      <c r="J16" s="247">
        <v>0</v>
      </c>
      <c r="K16" s="247">
        <v>0</v>
      </c>
      <c r="L16" s="264">
        <f>M16+N16+O16</f>
        <v>0</v>
      </c>
      <c r="M16" s="247">
        <v>0</v>
      </c>
      <c r="N16" s="247">
        <v>0</v>
      </c>
      <c r="O16" s="247">
        <v>0</v>
      </c>
    </row>
    <row r="17" spans="1:15" ht="15.75">
      <c r="A17" s="87">
        <v>4</v>
      </c>
      <c r="B17" s="120" t="s">
        <v>194</v>
      </c>
      <c r="C17" s="111">
        <f t="shared" si="2"/>
        <v>4</v>
      </c>
      <c r="D17" s="247">
        <v>0</v>
      </c>
      <c r="E17" s="247">
        <v>4</v>
      </c>
      <c r="F17" s="264">
        <f>G17+L17</f>
        <v>0</v>
      </c>
      <c r="G17" s="264">
        <f>H17+I17+J17+K17</f>
        <v>0</v>
      </c>
      <c r="H17" s="247">
        <v>0</v>
      </c>
      <c r="I17" s="247">
        <v>0</v>
      </c>
      <c r="J17" s="247">
        <v>0</v>
      </c>
      <c r="K17" s="247">
        <v>0</v>
      </c>
      <c r="L17" s="264">
        <f>M17+N17+O17</f>
        <v>0</v>
      </c>
      <c r="M17" s="247">
        <v>0</v>
      </c>
      <c r="N17" s="247">
        <v>0</v>
      </c>
      <c r="O17" s="247">
        <v>0</v>
      </c>
    </row>
    <row r="18" spans="1:15" ht="15.75">
      <c r="A18" s="87">
        <v>5</v>
      </c>
      <c r="B18" s="120" t="s">
        <v>195</v>
      </c>
      <c r="C18" s="263">
        <f t="shared" si="2"/>
        <v>0</v>
      </c>
      <c r="D18" s="247">
        <v>0</v>
      </c>
      <c r="E18" s="247">
        <v>0</v>
      </c>
      <c r="F18" s="264">
        <f>G18+L18</f>
        <v>0</v>
      </c>
      <c r="G18" s="264">
        <f>H18+I18+J18+K18</f>
        <v>0</v>
      </c>
      <c r="H18" s="247">
        <v>0</v>
      </c>
      <c r="I18" s="247">
        <v>0</v>
      </c>
      <c r="J18" s="247">
        <v>0</v>
      </c>
      <c r="K18" s="247">
        <v>0</v>
      </c>
      <c r="L18" s="264">
        <f>M18+N18+O18</f>
        <v>0</v>
      </c>
      <c r="M18" s="247">
        <v>0</v>
      </c>
      <c r="N18" s="247">
        <v>0</v>
      </c>
      <c r="O18" s="247">
        <v>0</v>
      </c>
    </row>
    <row r="19" spans="1:15" ht="25.5">
      <c r="A19" s="87">
        <v>6</v>
      </c>
      <c r="B19" s="120" t="s">
        <v>196</v>
      </c>
      <c r="C19" s="111"/>
      <c r="D19" s="170"/>
      <c r="E19" s="170"/>
      <c r="F19" s="170"/>
      <c r="G19" s="170"/>
      <c r="H19" s="170"/>
      <c r="I19" s="170"/>
      <c r="J19" s="170"/>
      <c r="K19" s="170"/>
      <c r="L19" s="170"/>
      <c r="M19" s="170"/>
      <c r="N19" s="170"/>
      <c r="O19" s="111"/>
    </row>
    <row r="20" spans="1:15" ht="25.5">
      <c r="A20" s="87">
        <v>7</v>
      </c>
      <c r="B20" s="120" t="s">
        <v>197</v>
      </c>
      <c r="C20" s="266">
        <f t="shared" si="2"/>
        <v>0</v>
      </c>
      <c r="D20" s="265">
        <v>0</v>
      </c>
      <c r="E20" s="265">
        <v>0</v>
      </c>
      <c r="F20" s="267">
        <f>G20+L20</f>
        <v>0</v>
      </c>
      <c r="G20" s="267">
        <f>H20+I20+J20+K20</f>
        <v>0</v>
      </c>
      <c r="H20" s="265">
        <v>0</v>
      </c>
      <c r="I20" s="265">
        <v>0</v>
      </c>
      <c r="J20" s="265">
        <v>0</v>
      </c>
      <c r="K20" s="265">
        <v>0</v>
      </c>
      <c r="L20" s="267">
        <f>M20+N20+O20</f>
        <v>0</v>
      </c>
      <c r="M20" s="265">
        <v>0</v>
      </c>
      <c r="N20" s="265">
        <v>0</v>
      </c>
      <c r="O20" s="265">
        <v>0</v>
      </c>
    </row>
    <row r="21" spans="1:15" ht="15">
      <c r="A21" s="87">
        <v>8</v>
      </c>
      <c r="B21" s="120" t="s">
        <v>198</v>
      </c>
      <c r="C21" s="266"/>
      <c r="D21" s="267"/>
      <c r="E21" s="267"/>
      <c r="F21" s="267"/>
      <c r="G21" s="267"/>
      <c r="H21" s="267"/>
      <c r="I21" s="267"/>
      <c r="J21" s="267"/>
      <c r="K21" s="267"/>
      <c r="L21" s="267"/>
      <c r="M21" s="267"/>
      <c r="N21" s="267"/>
      <c r="O21" s="266"/>
    </row>
    <row r="22" spans="1:15" ht="15">
      <c r="A22" s="87">
        <v>9</v>
      </c>
      <c r="B22" s="120" t="s">
        <v>199</v>
      </c>
      <c r="C22" s="266"/>
      <c r="D22" s="267"/>
      <c r="E22" s="267"/>
      <c r="F22" s="267"/>
      <c r="G22" s="267"/>
      <c r="H22" s="267"/>
      <c r="I22" s="267"/>
      <c r="J22" s="267"/>
      <c r="K22" s="267"/>
      <c r="L22" s="267"/>
      <c r="M22" s="267"/>
      <c r="N22" s="267"/>
      <c r="O22" s="266"/>
    </row>
    <row r="23" spans="1:15" ht="25.5">
      <c r="A23" s="87">
        <v>10</v>
      </c>
      <c r="B23" s="120" t="s">
        <v>200</v>
      </c>
      <c r="C23" s="266">
        <f>D23+E23</f>
        <v>20</v>
      </c>
      <c r="D23" s="265">
        <v>0</v>
      </c>
      <c r="E23" s="265">
        <v>20</v>
      </c>
      <c r="F23" s="267">
        <f>G23+L23</f>
        <v>0</v>
      </c>
      <c r="G23" s="267">
        <f>H23+I23+J23+K23</f>
        <v>0</v>
      </c>
      <c r="H23" s="265">
        <v>0</v>
      </c>
      <c r="I23" s="265">
        <v>0</v>
      </c>
      <c r="J23" s="265">
        <v>0</v>
      </c>
      <c r="K23" s="265">
        <v>0</v>
      </c>
      <c r="L23" s="267">
        <f>M23+N23+O23</f>
        <v>0</v>
      </c>
      <c r="M23" s="265">
        <v>0</v>
      </c>
      <c r="N23" s="265">
        <v>0</v>
      </c>
      <c r="O23" s="265">
        <v>0</v>
      </c>
    </row>
    <row r="24" spans="1:15" ht="15">
      <c r="A24" s="87">
        <v>11</v>
      </c>
      <c r="B24" s="120" t="s">
        <v>230</v>
      </c>
      <c r="C24" s="111">
        <f aca="true" t="shared" si="3" ref="C24:C33">D24+E24</f>
        <v>11</v>
      </c>
      <c r="D24" s="170">
        <v>11</v>
      </c>
      <c r="E24" s="170"/>
      <c r="F24" s="170">
        <f>G24+L24</f>
        <v>144</v>
      </c>
      <c r="G24" s="170">
        <f>H24+I24+J24+K24</f>
        <v>131</v>
      </c>
      <c r="H24" s="170">
        <v>37</v>
      </c>
      <c r="I24" s="264">
        <v>0</v>
      </c>
      <c r="J24" s="170">
        <v>94</v>
      </c>
      <c r="K24" s="264">
        <v>0</v>
      </c>
      <c r="L24" s="170">
        <f>M24+N24+O24</f>
        <v>13</v>
      </c>
      <c r="M24" s="264">
        <v>0</v>
      </c>
      <c r="N24" s="264">
        <v>0</v>
      </c>
      <c r="O24" s="111">
        <v>13</v>
      </c>
    </row>
    <row r="25" spans="1:15" ht="15.75">
      <c r="A25" s="87">
        <v>12</v>
      </c>
      <c r="B25" s="120" t="s">
        <v>184</v>
      </c>
      <c r="C25" s="111">
        <f t="shared" si="3"/>
        <v>1253</v>
      </c>
      <c r="D25" s="247">
        <v>1165</v>
      </c>
      <c r="E25" s="247">
        <v>88</v>
      </c>
      <c r="F25" s="264">
        <f>G25+L25</f>
        <v>0</v>
      </c>
      <c r="G25" s="264">
        <f>H25+I25+J25+K25</f>
        <v>0</v>
      </c>
      <c r="H25" s="247">
        <v>0</v>
      </c>
      <c r="I25" s="247">
        <v>0</v>
      </c>
      <c r="J25" s="247">
        <v>0</v>
      </c>
      <c r="K25" s="247">
        <v>0</v>
      </c>
      <c r="L25" s="264">
        <f>M25+N25+O25</f>
        <v>0</v>
      </c>
      <c r="M25" s="247">
        <v>0</v>
      </c>
      <c r="N25" s="247">
        <v>0</v>
      </c>
      <c r="O25" s="247">
        <v>0</v>
      </c>
    </row>
    <row r="26" spans="1:15" ht="25.5">
      <c r="A26" s="87">
        <v>13</v>
      </c>
      <c r="B26" s="120" t="s">
        <v>185</v>
      </c>
      <c r="C26" s="111">
        <f t="shared" si="3"/>
        <v>25</v>
      </c>
      <c r="D26" s="247">
        <v>0</v>
      </c>
      <c r="E26" s="170">
        <v>25</v>
      </c>
      <c r="F26" s="264">
        <f>G26+L26</f>
        <v>0</v>
      </c>
      <c r="G26" s="264">
        <f>H26+I26+J26+K26</f>
        <v>0</v>
      </c>
      <c r="H26" s="247">
        <v>0</v>
      </c>
      <c r="I26" s="247">
        <v>0</v>
      </c>
      <c r="J26" s="247">
        <v>0</v>
      </c>
      <c r="K26" s="247">
        <v>0</v>
      </c>
      <c r="L26" s="264">
        <f>M26+N26+O26</f>
        <v>0</v>
      </c>
      <c r="M26" s="247">
        <v>0</v>
      </c>
      <c r="N26" s="247">
        <v>0</v>
      </c>
      <c r="O26" s="247">
        <v>0</v>
      </c>
    </row>
    <row r="27" spans="1:15" ht="25.5">
      <c r="A27" s="87">
        <v>14</v>
      </c>
      <c r="B27" s="120" t="s">
        <v>186</v>
      </c>
      <c r="C27" s="111">
        <f t="shared" si="3"/>
        <v>55</v>
      </c>
      <c r="D27" s="247">
        <v>25</v>
      </c>
      <c r="E27" s="247">
        <v>30</v>
      </c>
      <c r="F27" s="170">
        <f>G27+L27</f>
        <v>2</v>
      </c>
      <c r="G27" s="170">
        <f>H27+I27+J27+K27</f>
        <v>2</v>
      </c>
      <c r="H27" s="247">
        <v>0</v>
      </c>
      <c r="I27" s="247">
        <v>0</v>
      </c>
      <c r="J27" s="247">
        <v>0</v>
      </c>
      <c r="K27" s="247">
        <v>2</v>
      </c>
      <c r="L27" s="264">
        <f>M27+N27+O27</f>
        <v>0</v>
      </c>
      <c r="M27" s="247">
        <v>0</v>
      </c>
      <c r="N27" s="247">
        <v>0</v>
      </c>
      <c r="O27" s="247"/>
    </row>
    <row r="28" spans="1:15" ht="25.5">
      <c r="A28" s="87">
        <v>15</v>
      </c>
      <c r="B28" s="120" t="s">
        <v>187</v>
      </c>
      <c r="C28" s="111">
        <f t="shared" si="3"/>
        <v>39</v>
      </c>
      <c r="D28" s="247">
        <v>0</v>
      </c>
      <c r="E28" s="247">
        <v>39</v>
      </c>
      <c r="F28" s="264">
        <f aca="true" t="shared" si="4" ref="F28:F33">G28+L28</f>
        <v>0</v>
      </c>
      <c r="G28" s="264">
        <f aca="true" t="shared" si="5" ref="G28:G33">H28+I28+J28+K28</f>
        <v>0</v>
      </c>
      <c r="H28" s="247">
        <v>0</v>
      </c>
      <c r="I28" s="247">
        <v>0</v>
      </c>
      <c r="J28" s="247">
        <v>0</v>
      </c>
      <c r="K28" s="247">
        <v>0</v>
      </c>
      <c r="L28" s="264">
        <f aca="true" t="shared" si="6" ref="L28:L33">M28+N28+O28</f>
        <v>0</v>
      </c>
      <c r="M28" s="247">
        <v>0</v>
      </c>
      <c r="N28" s="247">
        <v>0</v>
      </c>
      <c r="O28" s="247">
        <v>0</v>
      </c>
    </row>
    <row r="29" spans="1:15" ht="15.75">
      <c r="A29" s="87">
        <v>16</v>
      </c>
      <c r="B29" s="120" t="s">
        <v>188</v>
      </c>
      <c r="C29" s="263">
        <f t="shared" si="3"/>
        <v>0</v>
      </c>
      <c r="D29" s="247">
        <v>0</v>
      </c>
      <c r="E29" s="247">
        <v>0</v>
      </c>
      <c r="F29" s="170">
        <f t="shared" si="4"/>
        <v>10</v>
      </c>
      <c r="G29" s="170">
        <f t="shared" si="5"/>
        <v>10</v>
      </c>
      <c r="H29" s="247">
        <v>0</v>
      </c>
      <c r="I29" s="247">
        <v>0</v>
      </c>
      <c r="J29" s="247">
        <v>0</v>
      </c>
      <c r="K29" s="247">
        <v>10</v>
      </c>
      <c r="L29" s="264">
        <f t="shared" si="6"/>
        <v>0</v>
      </c>
      <c r="M29" s="247">
        <v>0</v>
      </c>
      <c r="N29" s="247">
        <v>0</v>
      </c>
      <c r="O29" s="247">
        <v>0</v>
      </c>
    </row>
    <row r="30" spans="1:15" ht="15.75">
      <c r="A30" s="87">
        <v>17</v>
      </c>
      <c r="B30" s="120" t="s">
        <v>227</v>
      </c>
      <c r="C30" s="111">
        <f>D30+E30</f>
        <v>54</v>
      </c>
      <c r="D30" s="247">
        <v>54</v>
      </c>
      <c r="E30" s="247">
        <v>0</v>
      </c>
      <c r="F30" s="170">
        <f t="shared" si="4"/>
        <v>1205</v>
      </c>
      <c r="G30" s="170">
        <f t="shared" si="5"/>
        <v>1205</v>
      </c>
      <c r="H30" s="247">
        <v>784</v>
      </c>
      <c r="I30" s="247">
        <v>421</v>
      </c>
      <c r="J30" s="247">
        <v>0</v>
      </c>
      <c r="K30" s="247">
        <v>0</v>
      </c>
      <c r="L30" s="264">
        <f t="shared" si="6"/>
        <v>0</v>
      </c>
      <c r="M30" s="247">
        <v>0</v>
      </c>
      <c r="N30" s="247">
        <v>0</v>
      </c>
      <c r="O30" s="247">
        <v>0</v>
      </c>
    </row>
    <row r="31" spans="1:15" ht="25.5">
      <c r="A31" s="87">
        <v>18</v>
      </c>
      <c r="B31" s="121" t="s">
        <v>189</v>
      </c>
      <c r="C31" s="111">
        <f t="shared" si="3"/>
        <v>31</v>
      </c>
      <c r="D31" s="247">
        <v>0</v>
      </c>
      <c r="E31" s="247">
        <v>31</v>
      </c>
      <c r="F31" s="170">
        <f t="shared" si="4"/>
        <v>17</v>
      </c>
      <c r="G31" s="170">
        <f t="shared" si="5"/>
        <v>17</v>
      </c>
      <c r="H31" s="247">
        <v>0</v>
      </c>
      <c r="I31" s="247">
        <v>0</v>
      </c>
      <c r="J31" s="247">
        <v>0</v>
      </c>
      <c r="K31" s="247">
        <v>17</v>
      </c>
      <c r="L31" s="264">
        <f t="shared" si="6"/>
        <v>0</v>
      </c>
      <c r="M31" s="247">
        <v>0</v>
      </c>
      <c r="N31" s="247">
        <v>0</v>
      </c>
      <c r="O31" s="247">
        <v>0</v>
      </c>
    </row>
    <row r="32" spans="1:15" ht="15.75">
      <c r="A32" s="87">
        <v>19</v>
      </c>
      <c r="B32" s="121" t="s">
        <v>190</v>
      </c>
      <c r="C32" s="263">
        <f t="shared" si="3"/>
        <v>0</v>
      </c>
      <c r="D32" s="247">
        <v>0</v>
      </c>
      <c r="E32" s="247">
        <v>0</v>
      </c>
      <c r="F32" s="264">
        <f t="shared" si="4"/>
        <v>0</v>
      </c>
      <c r="G32" s="264">
        <f t="shared" si="5"/>
        <v>0</v>
      </c>
      <c r="H32" s="247">
        <v>0</v>
      </c>
      <c r="I32" s="247">
        <v>0</v>
      </c>
      <c r="J32" s="247">
        <v>0</v>
      </c>
      <c r="K32" s="247">
        <v>0</v>
      </c>
      <c r="L32" s="264">
        <f t="shared" si="6"/>
        <v>0</v>
      </c>
      <c r="M32" s="247">
        <v>0</v>
      </c>
      <c r="N32" s="247">
        <v>0</v>
      </c>
      <c r="O32" s="247">
        <v>0</v>
      </c>
    </row>
    <row r="33" spans="1:15" ht="15.75">
      <c r="A33" s="87">
        <v>20</v>
      </c>
      <c r="B33" s="121" t="s">
        <v>191</v>
      </c>
      <c r="C33" s="263">
        <f t="shared" si="3"/>
        <v>0</v>
      </c>
      <c r="D33" s="247">
        <v>0</v>
      </c>
      <c r="E33" s="247">
        <v>0</v>
      </c>
      <c r="F33" s="264">
        <f t="shared" si="4"/>
        <v>0</v>
      </c>
      <c r="G33" s="264">
        <f t="shared" si="5"/>
        <v>0</v>
      </c>
      <c r="H33" s="247">
        <v>0</v>
      </c>
      <c r="I33" s="247">
        <v>0</v>
      </c>
      <c r="J33" s="247">
        <v>0</v>
      </c>
      <c r="K33" s="247">
        <v>0</v>
      </c>
      <c r="L33" s="264">
        <f t="shared" si="6"/>
        <v>0</v>
      </c>
      <c r="M33" s="247">
        <v>0</v>
      </c>
      <c r="N33" s="247">
        <v>0</v>
      </c>
      <c r="O33" s="247">
        <v>0</v>
      </c>
    </row>
    <row r="34" spans="1:15" ht="18.75" customHeight="1">
      <c r="A34" s="56" t="s">
        <v>98</v>
      </c>
      <c r="B34" s="54"/>
      <c r="C34" s="224">
        <f aca="true" t="shared" si="7" ref="C34:O34">SUM(C35:C97)</f>
        <v>3906</v>
      </c>
      <c r="D34" s="224">
        <f t="shared" si="7"/>
        <v>3159</v>
      </c>
      <c r="E34" s="224">
        <f t="shared" si="7"/>
        <v>747</v>
      </c>
      <c r="F34" s="224">
        <f t="shared" si="7"/>
        <v>120166</v>
      </c>
      <c r="G34" s="224">
        <f t="shared" si="7"/>
        <v>94160</v>
      </c>
      <c r="H34" s="224">
        <f t="shared" si="7"/>
        <v>43006</v>
      </c>
      <c r="I34" s="224">
        <f t="shared" si="7"/>
        <v>2408</v>
      </c>
      <c r="J34" s="224">
        <f t="shared" si="7"/>
        <v>47644</v>
      </c>
      <c r="K34" s="224">
        <f t="shared" si="7"/>
        <v>1102</v>
      </c>
      <c r="L34" s="205">
        <f t="shared" si="7"/>
        <v>26006</v>
      </c>
      <c r="M34" s="224">
        <f t="shared" si="7"/>
        <v>1980</v>
      </c>
      <c r="N34" s="224">
        <f t="shared" si="7"/>
        <v>5625</v>
      </c>
      <c r="O34" s="224">
        <f t="shared" si="7"/>
        <v>18401</v>
      </c>
    </row>
    <row r="35" spans="1:15" ht="15.75">
      <c r="A35" s="79">
        <v>1</v>
      </c>
      <c r="B35" s="80" t="s">
        <v>167</v>
      </c>
      <c r="C35" s="122">
        <f>D35+E35</f>
        <v>41</v>
      </c>
      <c r="D35" s="122">
        <v>41</v>
      </c>
      <c r="E35" s="247">
        <v>0</v>
      </c>
      <c r="F35" s="122">
        <f>G35+L35</f>
        <v>3123</v>
      </c>
      <c r="G35" s="122">
        <f>H35+I35+J35+K35</f>
        <v>1199</v>
      </c>
      <c r="H35" s="122">
        <f>372+484</f>
        <v>856</v>
      </c>
      <c r="I35" s="171">
        <v>55</v>
      </c>
      <c r="J35" s="171">
        <v>288</v>
      </c>
      <c r="K35" s="247">
        <v>0</v>
      </c>
      <c r="L35" s="122">
        <f>M35+N35+O35</f>
        <v>1924</v>
      </c>
      <c r="M35" s="247">
        <v>0</v>
      </c>
      <c r="N35" s="247">
        <v>0</v>
      </c>
      <c r="O35" s="122">
        <v>1924</v>
      </c>
    </row>
    <row r="36" spans="1:15" ht="15.75">
      <c r="A36" s="79">
        <v>2</v>
      </c>
      <c r="B36" s="80" t="s">
        <v>251</v>
      </c>
      <c r="C36" s="122">
        <f aca="true" t="shared" si="8" ref="C36:C97">D36+E36</f>
        <v>57</v>
      </c>
      <c r="D36" s="122">
        <v>47</v>
      </c>
      <c r="E36" s="122">
        <v>10</v>
      </c>
      <c r="F36" s="122">
        <f aca="true" t="shared" si="9" ref="F36:F97">G36+L36</f>
        <v>3835</v>
      </c>
      <c r="G36" s="122">
        <f aca="true" t="shared" si="10" ref="G36:G97">H36+I36+J36+K36</f>
        <v>3401</v>
      </c>
      <c r="H36" s="122">
        <f>432+362</f>
        <v>794</v>
      </c>
      <c r="I36" s="122">
        <v>24</v>
      </c>
      <c r="J36" s="122">
        <v>2583</v>
      </c>
      <c r="K36" s="247">
        <v>0</v>
      </c>
      <c r="L36" s="122">
        <f aca="true" t="shared" si="11" ref="L36:L97">M36+N36+O36</f>
        <v>434</v>
      </c>
      <c r="M36" s="122">
        <v>6</v>
      </c>
      <c r="N36" s="122">
        <v>428</v>
      </c>
      <c r="O36" s="247">
        <v>0</v>
      </c>
    </row>
    <row r="37" spans="1:15" ht="15.75">
      <c r="A37" s="79">
        <v>3</v>
      </c>
      <c r="B37" s="80" t="s">
        <v>168</v>
      </c>
      <c r="C37" s="122">
        <f t="shared" si="8"/>
        <v>35</v>
      </c>
      <c r="D37" s="122">
        <v>35</v>
      </c>
      <c r="E37" s="122"/>
      <c r="F37" s="122">
        <f t="shared" si="9"/>
        <v>1772</v>
      </c>
      <c r="G37" s="122">
        <f t="shared" si="10"/>
        <v>1597</v>
      </c>
      <c r="H37" s="122">
        <f>386+291</f>
        <v>677</v>
      </c>
      <c r="I37" s="122">
        <f>16</f>
        <v>16</v>
      </c>
      <c r="J37" s="122">
        <f>903</f>
        <v>903</v>
      </c>
      <c r="K37" s="122">
        <v>1</v>
      </c>
      <c r="L37" s="122">
        <f t="shared" si="11"/>
        <v>175</v>
      </c>
      <c r="M37" s="122"/>
      <c r="N37" s="122"/>
      <c r="O37" s="122">
        <v>175</v>
      </c>
    </row>
    <row r="38" spans="1:15" ht="15.75">
      <c r="A38" s="79">
        <v>4</v>
      </c>
      <c r="B38" s="80" t="s">
        <v>169</v>
      </c>
      <c r="C38" s="122">
        <f t="shared" si="8"/>
        <v>53</v>
      </c>
      <c r="D38" s="122">
        <v>53</v>
      </c>
      <c r="E38" s="247">
        <v>0</v>
      </c>
      <c r="F38" s="122">
        <f t="shared" si="9"/>
        <v>324</v>
      </c>
      <c r="G38" s="122">
        <f t="shared" si="10"/>
        <v>324</v>
      </c>
      <c r="H38" s="122">
        <f>54+119</f>
        <v>173</v>
      </c>
      <c r="I38" s="247">
        <v>0</v>
      </c>
      <c r="J38" s="122">
        <v>151</v>
      </c>
      <c r="K38" s="247">
        <v>0</v>
      </c>
      <c r="L38" s="264">
        <f t="shared" si="11"/>
        <v>0</v>
      </c>
      <c r="M38" s="247">
        <v>0</v>
      </c>
      <c r="N38" s="247">
        <v>0</v>
      </c>
      <c r="O38" s="247">
        <v>0</v>
      </c>
    </row>
    <row r="39" spans="1:15" ht="15.75">
      <c r="A39" s="79">
        <v>5</v>
      </c>
      <c r="B39" s="80" t="s">
        <v>170</v>
      </c>
      <c r="C39" s="122">
        <f>D39+E39</f>
        <v>22</v>
      </c>
      <c r="D39" s="122">
        <v>21</v>
      </c>
      <c r="E39" s="122">
        <v>1</v>
      </c>
      <c r="F39" s="122">
        <f>G39+L39</f>
        <v>475</v>
      </c>
      <c r="G39" s="122">
        <f>H39+I39+J39+K39</f>
        <v>456</v>
      </c>
      <c r="H39" s="122">
        <f>114+196</f>
        <v>310</v>
      </c>
      <c r="I39" s="122">
        <v>6</v>
      </c>
      <c r="J39" s="122">
        <v>140</v>
      </c>
      <c r="K39" s="122"/>
      <c r="L39" s="122">
        <f>M39+N39+O39</f>
        <v>19</v>
      </c>
      <c r="M39" s="122">
        <v>2</v>
      </c>
      <c r="N39" s="247">
        <v>0</v>
      </c>
      <c r="O39" s="122">
        <v>17</v>
      </c>
    </row>
    <row r="40" spans="1:15" ht="15.75">
      <c r="A40" s="79">
        <v>6</v>
      </c>
      <c r="B40" s="80" t="s">
        <v>171</v>
      </c>
      <c r="C40" s="122">
        <f>D40+E40</f>
        <v>17</v>
      </c>
      <c r="D40" s="122">
        <v>17</v>
      </c>
      <c r="E40" s="122"/>
      <c r="F40" s="122">
        <f>G40+L40</f>
        <v>2936</v>
      </c>
      <c r="G40" s="122">
        <f>H40+I40+J40+K40</f>
        <v>1332</v>
      </c>
      <c r="H40" s="122">
        <v>160</v>
      </c>
      <c r="I40" s="122">
        <v>18</v>
      </c>
      <c r="J40" s="122">
        <v>1154</v>
      </c>
      <c r="K40" s="247">
        <v>0</v>
      </c>
      <c r="L40" s="122">
        <f>M40+N40+O40</f>
        <v>1604</v>
      </c>
      <c r="M40" s="247">
        <v>0</v>
      </c>
      <c r="N40" s="122">
        <v>86</v>
      </c>
      <c r="O40" s="122">
        <v>1518</v>
      </c>
    </row>
    <row r="41" spans="1:15" ht="15.75">
      <c r="A41" s="79">
        <v>7</v>
      </c>
      <c r="B41" s="80" t="s">
        <v>172</v>
      </c>
      <c r="C41" s="122">
        <f>D41+E41</f>
        <v>73</v>
      </c>
      <c r="D41" s="122">
        <v>62</v>
      </c>
      <c r="E41" s="122">
        <v>11</v>
      </c>
      <c r="F41" s="122">
        <f>G41+L41</f>
        <v>1055</v>
      </c>
      <c r="G41" s="122">
        <f>H41+I41+J41+K41</f>
        <v>1055</v>
      </c>
      <c r="H41" s="122">
        <f>328+342</f>
        <v>670</v>
      </c>
      <c r="I41" s="247">
        <v>0</v>
      </c>
      <c r="J41" s="122">
        <v>375</v>
      </c>
      <c r="K41" s="122">
        <v>10</v>
      </c>
      <c r="L41" s="264">
        <f>M41+N41+O41</f>
        <v>0</v>
      </c>
      <c r="M41" s="247">
        <v>0</v>
      </c>
      <c r="N41" s="247">
        <v>0</v>
      </c>
      <c r="O41" s="247">
        <v>0</v>
      </c>
    </row>
    <row r="42" spans="1:15" ht="15.75">
      <c r="A42" s="79">
        <v>8</v>
      </c>
      <c r="B42" s="80" t="s">
        <v>173</v>
      </c>
      <c r="C42" s="122">
        <f>D42+E42</f>
        <v>88</v>
      </c>
      <c r="D42" s="122">
        <v>78</v>
      </c>
      <c r="E42" s="122">
        <v>10</v>
      </c>
      <c r="F42" s="122">
        <f>G42+L42</f>
        <v>1212</v>
      </c>
      <c r="G42" s="122">
        <f>H42+I42+J42+K42</f>
        <v>1212</v>
      </c>
      <c r="H42" s="122">
        <f>316+366</f>
        <v>682</v>
      </c>
      <c r="I42" s="122">
        <v>175</v>
      </c>
      <c r="J42" s="122">
        <v>355</v>
      </c>
      <c r="K42" s="247">
        <v>0</v>
      </c>
      <c r="L42" s="264">
        <f>M42+N42+O42</f>
        <v>0</v>
      </c>
      <c r="M42" s="247">
        <v>0</v>
      </c>
      <c r="N42" s="247">
        <v>0</v>
      </c>
      <c r="O42" s="247">
        <v>0</v>
      </c>
    </row>
    <row r="43" spans="1:15" ht="15.75">
      <c r="A43" s="79">
        <v>9</v>
      </c>
      <c r="B43" s="80" t="s">
        <v>174</v>
      </c>
      <c r="C43" s="122">
        <f t="shared" si="8"/>
        <v>40</v>
      </c>
      <c r="D43" s="122">
        <v>40</v>
      </c>
      <c r="E43" s="247">
        <v>0</v>
      </c>
      <c r="F43" s="122">
        <f t="shared" si="9"/>
        <v>2052</v>
      </c>
      <c r="G43" s="122">
        <f t="shared" si="10"/>
        <v>1993</v>
      </c>
      <c r="H43" s="122">
        <f>840+366</f>
        <v>1206</v>
      </c>
      <c r="I43" s="247">
        <v>0</v>
      </c>
      <c r="J43" s="122">
        <v>787</v>
      </c>
      <c r="K43" s="247">
        <v>0</v>
      </c>
      <c r="L43" s="122">
        <f t="shared" si="11"/>
        <v>59</v>
      </c>
      <c r="M43" s="122">
        <v>4</v>
      </c>
      <c r="N43" s="122">
        <v>2</v>
      </c>
      <c r="O43" s="122">
        <v>53</v>
      </c>
    </row>
    <row r="44" spans="1:15" ht="15.75">
      <c r="A44" s="79">
        <v>10</v>
      </c>
      <c r="B44" s="80" t="s">
        <v>175</v>
      </c>
      <c r="C44" s="122">
        <f t="shared" si="8"/>
        <v>48</v>
      </c>
      <c r="D44" s="122">
        <v>39</v>
      </c>
      <c r="E44" s="122">
        <v>9</v>
      </c>
      <c r="F44" s="122">
        <f t="shared" si="9"/>
        <v>751</v>
      </c>
      <c r="G44" s="122">
        <f t="shared" si="10"/>
        <v>751</v>
      </c>
      <c r="H44" s="122">
        <v>370</v>
      </c>
      <c r="I44" s="247">
        <v>0</v>
      </c>
      <c r="J44" s="122">
        <v>380</v>
      </c>
      <c r="K44" s="122">
        <v>1</v>
      </c>
      <c r="L44" s="264">
        <f t="shared" si="11"/>
        <v>0</v>
      </c>
      <c r="M44" s="247">
        <v>0</v>
      </c>
      <c r="N44" s="247">
        <v>0</v>
      </c>
      <c r="O44" s="247">
        <v>0</v>
      </c>
    </row>
    <row r="45" spans="1:15" ht="15.75">
      <c r="A45" s="79">
        <v>11</v>
      </c>
      <c r="B45" s="80" t="s">
        <v>176</v>
      </c>
      <c r="C45" s="122">
        <f t="shared" si="8"/>
        <v>90</v>
      </c>
      <c r="D45" s="122">
        <v>89</v>
      </c>
      <c r="E45" s="122">
        <v>1</v>
      </c>
      <c r="F45" s="122">
        <f t="shared" si="9"/>
        <v>1714</v>
      </c>
      <c r="G45" s="122">
        <f t="shared" si="10"/>
        <v>1477</v>
      </c>
      <c r="H45" s="122">
        <f>243+605</f>
        <v>848</v>
      </c>
      <c r="I45" s="247">
        <v>0</v>
      </c>
      <c r="J45" s="122">
        <v>512</v>
      </c>
      <c r="K45" s="122">
        <f>1+114+2</f>
        <v>117</v>
      </c>
      <c r="L45" s="122">
        <f t="shared" si="11"/>
        <v>237</v>
      </c>
      <c r="M45" s="122">
        <v>146</v>
      </c>
      <c r="N45" s="247">
        <v>0</v>
      </c>
      <c r="O45" s="122">
        <v>91</v>
      </c>
    </row>
    <row r="46" spans="1:15" ht="15.75">
      <c r="A46" s="79">
        <v>12</v>
      </c>
      <c r="B46" s="80" t="s">
        <v>177</v>
      </c>
      <c r="C46" s="122">
        <f t="shared" si="8"/>
        <v>64</v>
      </c>
      <c r="D46" s="122">
        <v>63</v>
      </c>
      <c r="E46" s="122">
        <v>1</v>
      </c>
      <c r="F46" s="122">
        <f t="shared" si="9"/>
        <v>830</v>
      </c>
      <c r="G46" s="122">
        <f t="shared" si="10"/>
        <v>821</v>
      </c>
      <c r="H46" s="122">
        <f>182+382</f>
        <v>564</v>
      </c>
      <c r="I46" s="122">
        <v>26</v>
      </c>
      <c r="J46" s="122">
        <v>219</v>
      </c>
      <c r="K46" s="122">
        <f>1+8+1+2</f>
        <v>12</v>
      </c>
      <c r="L46" s="122">
        <f t="shared" si="11"/>
        <v>9</v>
      </c>
      <c r="M46" s="122">
        <v>4</v>
      </c>
      <c r="N46" s="122">
        <v>5</v>
      </c>
      <c r="O46" s="247">
        <v>0</v>
      </c>
    </row>
    <row r="47" spans="1:15" ht="15.75">
      <c r="A47" s="79">
        <v>13</v>
      </c>
      <c r="B47" s="80" t="s">
        <v>178</v>
      </c>
      <c r="C47" s="122">
        <f t="shared" si="8"/>
        <v>131</v>
      </c>
      <c r="D47" s="122">
        <v>20</v>
      </c>
      <c r="E47" s="122">
        <v>111</v>
      </c>
      <c r="F47" s="122">
        <f t="shared" si="9"/>
        <v>3537</v>
      </c>
      <c r="G47" s="122">
        <f t="shared" si="10"/>
        <v>1519</v>
      </c>
      <c r="H47" s="122">
        <f>112+246</f>
        <v>358</v>
      </c>
      <c r="I47" s="122">
        <v>34</v>
      </c>
      <c r="J47" s="122">
        <v>1110</v>
      </c>
      <c r="K47" s="122">
        <f>1+3+13</f>
        <v>17</v>
      </c>
      <c r="L47" s="122">
        <f t="shared" si="11"/>
        <v>2018</v>
      </c>
      <c r="M47" s="122">
        <v>4</v>
      </c>
      <c r="N47" s="122">
        <v>2014</v>
      </c>
      <c r="O47" s="247">
        <v>0</v>
      </c>
    </row>
    <row r="48" spans="1:15" ht="15.75">
      <c r="A48" s="79">
        <v>14</v>
      </c>
      <c r="B48" s="80" t="s">
        <v>179</v>
      </c>
      <c r="C48" s="122">
        <f t="shared" si="8"/>
        <v>19</v>
      </c>
      <c r="D48" s="122">
        <v>12</v>
      </c>
      <c r="E48" s="122">
        <v>7</v>
      </c>
      <c r="F48" s="122">
        <f t="shared" si="9"/>
        <v>802</v>
      </c>
      <c r="G48" s="122">
        <f t="shared" si="10"/>
        <v>802</v>
      </c>
      <c r="H48" s="122">
        <f>401+37</f>
        <v>438</v>
      </c>
      <c r="I48" s="122">
        <v>162</v>
      </c>
      <c r="J48" s="122">
        <v>202</v>
      </c>
      <c r="K48" s="247">
        <v>0</v>
      </c>
      <c r="L48" s="264">
        <f t="shared" si="11"/>
        <v>0</v>
      </c>
      <c r="M48" s="247">
        <v>0</v>
      </c>
      <c r="N48" s="247">
        <v>0</v>
      </c>
      <c r="O48" s="247">
        <v>0</v>
      </c>
    </row>
    <row r="49" spans="1:15" ht="15.75">
      <c r="A49" s="79">
        <v>15</v>
      </c>
      <c r="B49" s="80" t="s">
        <v>180</v>
      </c>
      <c r="C49" s="122">
        <f t="shared" si="8"/>
        <v>42</v>
      </c>
      <c r="D49" s="122">
        <v>42</v>
      </c>
      <c r="E49" s="247">
        <v>0</v>
      </c>
      <c r="F49" s="122">
        <f t="shared" si="9"/>
        <v>1098</v>
      </c>
      <c r="G49" s="122">
        <f t="shared" si="10"/>
        <v>1098</v>
      </c>
      <c r="H49" s="122">
        <f>242+433</f>
        <v>675</v>
      </c>
      <c r="I49" s="122">
        <v>127</v>
      </c>
      <c r="J49" s="122">
        <v>296</v>
      </c>
      <c r="K49" s="247">
        <v>0</v>
      </c>
      <c r="L49" s="264">
        <f t="shared" si="11"/>
        <v>0</v>
      </c>
      <c r="M49" s="247">
        <v>0</v>
      </c>
      <c r="N49" s="247">
        <v>0</v>
      </c>
      <c r="O49" s="247">
        <v>0</v>
      </c>
    </row>
    <row r="50" spans="1:15" ht="15.75">
      <c r="A50" s="79">
        <v>16</v>
      </c>
      <c r="B50" s="80" t="s">
        <v>181</v>
      </c>
      <c r="C50" s="122">
        <f t="shared" si="8"/>
        <v>73</v>
      </c>
      <c r="D50" s="122">
        <v>70</v>
      </c>
      <c r="E50" s="122">
        <v>3</v>
      </c>
      <c r="F50" s="122">
        <f t="shared" si="9"/>
        <v>2273</v>
      </c>
      <c r="G50" s="122">
        <f t="shared" si="10"/>
        <v>2214</v>
      </c>
      <c r="H50" s="122">
        <f>491+1172</f>
        <v>1663</v>
      </c>
      <c r="I50" s="122">
        <v>8</v>
      </c>
      <c r="J50" s="122">
        <v>510</v>
      </c>
      <c r="K50" s="122">
        <f>11+17+5</f>
        <v>33</v>
      </c>
      <c r="L50" s="122">
        <f t="shared" si="11"/>
        <v>59</v>
      </c>
      <c r="M50" s="122"/>
      <c r="N50" s="122"/>
      <c r="O50" s="122">
        <v>59</v>
      </c>
    </row>
    <row r="51" spans="1:15" ht="15.75">
      <c r="A51" s="79">
        <v>17</v>
      </c>
      <c r="B51" s="80" t="s">
        <v>182</v>
      </c>
      <c r="C51" s="122">
        <f t="shared" si="8"/>
        <v>33</v>
      </c>
      <c r="D51" s="122">
        <v>10</v>
      </c>
      <c r="E51" s="122">
        <v>23</v>
      </c>
      <c r="F51" s="122">
        <f t="shared" si="9"/>
        <v>732</v>
      </c>
      <c r="G51" s="122">
        <f t="shared" si="10"/>
        <v>732</v>
      </c>
      <c r="H51" s="122">
        <f>143+310</f>
        <v>453</v>
      </c>
      <c r="I51" s="247">
        <v>0</v>
      </c>
      <c r="J51" s="122">
        <v>204</v>
      </c>
      <c r="K51" s="122">
        <v>75</v>
      </c>
      <c r="L51" s="264">
        <f t="shared" si="11"/>
        <v>0</v>
      </c>
      <c r="M51" s="247">
        <v>0</v>
      </c>
      <c r="N51" s="247">
        <v>0</v>
      </c>
      <c r="O51" s="247">
        <v>0</v>
      </c>
    </row>
    <row r="52" spans="1:15" ht="15.75">
      <c r="A52" s="79">
        <v>18</v>
      </c>
      <c r="B52" s="80" t="s">
        <v>183</v>
      </c>
      <c r="C52" s="122">
        <f t="shared" si="8"/>
        <v>58</v>
      </c>
      <c r="D52" s="122">
        <v>55</v>
      </c>
      <c r="E52" s="122">
        <v>3</v>
      </c>
      <c r="F52" s="122">
        <f t="shared" si="9"/>
        <v>973</v>
      </c>
      <c r="G52" s="122">
        <f t="shared" si="10"/>
        <v>957</v>
      </c>
      <c r="H52" s="122">
        <f>127+112</f>
        <v>239</v>
      </c>
      <c r="I52" s="247">
        <v>0</v>
      </c>
      <c r="J52" s="122">
        <v>718</v>
      </c>
      <c r="K52" s="247">
        <v>0</v>
      </c>
      <c r="L52" s="122">
        <f t="shared" si="11"/>
        <v>16</v>
      </c>
      <c r="M52" s="247">
        <v>0</v>
      </c>
      <c r="N52" s="247">
        <v>0</v>
      </c>
      <c r="O52" s="122">
        <v>16</v>
      </c>
    </row>
    <row r="53" spans="1:15" ht="15.75">
      <c r="A53" s="79">
        <v>19</v>
      </c>
      <c r="B53" s="81" t="s">
        <v>201</v>
      </c>
      <c r="C53" s="122">
        <f t="shared" si="8"/>
        <v>62</v>
      </c>
      <c r="D53" s="122">
        <v>62</v>
      </c>
      <c r="E53" s="122"/>
      <c r="F53" s="122">
        <f t="shared" si="9"/>
        <v>2313</v>
      </c>
      <c r="G53" s="122">
        <f t="shared" si="10"/>
        <v>2290</v>
      </c>
      <c r="H53" s="122">
        <f>662+1059</f>
        <v>1721</v>
      </c>
      <c r="I53" s="122">
        <v>2</v>
      </c>
      <c r="J53" s="122">
        <v>567</v>
      </c>
      <c r="K53" s="122"/>
      <c r="L53" s="122">
        <f t="shared" si="11"/>
        <v>23</v>
      </c>
      <c r="M53" s="122"/>
      <c r="N53" s="122"/>
      <c r="O53" s="122">
        <v>23</v>
      </c>
    </row>
    <row r="54" spans="1:15" ht="15.75">
      <c r="A54" s="79">
        <v>20</v>
      </c>
      <c r="B54" s="81" t="s">
        <v>202</v>
      </c>
      <c r="C54" s="122">
        <f t="shared" si="8"/>
        <v>60</v>
      </c>
      <c r="D54" s="122">
        <v>59</v>
      </c>
      <c r="E54" s="122">
        <v>1</v>
      </c>
      <c r="F54" s="122">
        <f t="shared" si="9"/>
        <v>1286</v>
      </c>
      <c r="G54" s="122">
        <f t="shared" si="10"/>
        <v>1286</v>
      </c>
      <c r="H54" s="122">
        <f>295+639</f>
        <v>934</v>
      </c>
      <c r="I54" s="122">
        <v>53</v>
      </c>
      <c r="J54" s="122">
        <v>299</v>
      </c>
      <c r="K54" s="122"/>
      <c r="L54" s="264">
        <f t="shared" si="11"/>
        <v>0</v>
      </c>
      <c r="M54" s="122"/>
      <c r="N54" s="122"/>
      <c r="O54" s="122"/>
    </row>
    <row r="55" spans="1:15" ht="15.75">
      <c r="A55" s="79">
        <v>21</v>
      </c>
      <c r="B55" s="81" t="s">
        <v>203</v>
      </c>
      <c r="C55" s="122">
        <f t="shared" si="8"/>
        <v>129</v>
      </c>
      <c r="D55" s="122">
        <v>129</v>
      </c>
      <c r="E55" s="247">
        <v>0</v>
      </c>
      <c r="F55" s="122">
        <f t="shared" si="9"/>
        <v>1276</v>
      </c>
      <c r="G55" s="122">
        <f t="shared" si="10"/>
        <v>1251</v>
      </c>
      <c r="H55" s="122">
        <f>353+306</f>
        <v>659</v>
      </c>
      <c r="I55" s="247">
        <v>0</v>
      </c>
      <c r="J55" s="122">
        <v>548</v>
      </c>
      <c r="K55" s="122">
        <f>1+1+29+2+8+3</f>
        <v>44</v>
      </c>
      <c r="L55" s="122">
        <f t="shared" si="11"/>
        <v>25</v>
      </c>
      <c r="M55" s="247">
        <v>0</v>
      </c>
      <c r="N55" s="247">
        <v>0</v>
      </c>
      <c r="O55" s="122">
        <v>25</v>
      </c>
    </row>
    <row r="56" spans="1:15" ht="15.75">
      <c r="A56" s="79">
        <v>22</v>
      </c>
      <c r="B56" s="81" t="s">
        <v>204</v>
      </c>
      <c r="C56" s="122">
        <f t="shared" si="8"/>
        <v>180</v>
      </c>
      <c r="D56" s="122">
        <v>90</v>
      </c>
      <c r="E56" s="122">
        <v>90</v>
      </c>
      <c r="F56" s="122">
        <f>G56+L56</f>
        <v>310</v>
      </c>
      <c r="G56" s="122">
        <f>H56+I56+J56+K56</f>
        <v>300</v>
      </c>
      <c r="H56" s="122">
        <f>63+71</f>
        <v>134</v>
      </c>
      <c r="I56" s="122">
        <v>6</v>
      </c>
      <c r="J56" s="122">
        <v>160</v>
      </c>
      <c r="K56" s="122"/>
      <c r="L56" s="122">
        <f t="shared" si="11"/>
        <v>10</v>
      </c>
      <c r="M56" s="122"/>
      <c r="N56" s="122"/>
      <c r="O56" s="122">
        <v>10</v>
      </c>
    </row>
    <row r="57" spans="1:15" ht="15.75">
      <c r="A57" s="79">
        <v>23</v>
      </c>
      <c r="B57" s="81" t="s">
        <v>205</v>
      </c>
      <c r="C57" s="122">
        <f t="shared" si="8"/>
        <v>38</v>
      </c>
      <c r="D57" s="122">
        <v>29</v>
      </c>
      <c r="E57" s="122">
        <v>9</v>
      </c>
      <c r="F57" s="122">
        <f>G57+L57</f>
        <v>983</v>
      </c>
      <c r="G57" s="122">
        <f>H57+I57+J57+K57</f>
        <v>696</v>
      </c>
      <c r="H57" s="122">
        <f>143+209</f>
        <v>352</v>
      </c>
      <c r="I57" s="122">
        <v>5</v>
      </c>
      <c r="J57" s="122">
        <v>339</v>
      </c>
      <c r="K57" s="122"/>
      <c r="L57" s="122">
        <f t="shared" si="11"/>
        <v>287</v>
      </c>
      <c r="M57" s="122">
        <v>1</v>
      </c>
      <c r="N57" s="122">
        <v>35</v>
      </c>
      <c r="O57" s="122">
        <v>251</v>
      </c>
    </row>
    <row r="58" spans="1:15" ht="15.75">
      <c r="A58" s="79">
        <v>24</v>
      </c>
      <c r="B58" s="81" t="s">
        <v>206</v>
      </c>
      <c r="C58" s="122">
        <f t="shared" si="8"/>
        <v>90</v>
      </c>
      <c r="D58" s="122">
        <v>27</v>
      </c>
      <c r="E58" s="122">
        <v>63</v>
      </c>
      <c r="F58" s="122">
        <f>G58+L58</f>
        <v>10499</v>
      </c>
      <c r="G58" s="122">
        <f>H58+I58+J58+K58</f>
        <v>8552</v>
      </c>
      <c r="H58" s="122">
        <v>765</v>
      </c>
      <c r="I58" s="122">
        <v>66</v>
      </c>
      <c r="J58" s="122">
        <v>7721</v>
      </c>
      <c r="K58" s="247">
        <v>0</v>
      </c>
      <c r="L58" s="122">
        <f t="shared" si="11"/>
        <v>1947</v>
      </c>
      <c r="M58" s="122">
        <v>1393</v>
      </c>
      <c r="N58" s="122">
        <v>52</v>
      </c>
      <c r="O58" s="122">
        <v>502</v>
      </c>
    </row>
    <row r="59" spans="1:15" ht="15.75">
      <c r="A59" s="79">
        <v>25</v>
      </c>
      <c r="B59" s="81" t="s">
        <v>207</v>
      </c>
      <c r="C59" s="122">
        <f t="shared" si="8"/>
        <v>48</v>
      </c>
      <c r="D59" s="122">
        <v>39</v>
      </c>
      <c r="E59" s="122">
        <v>9</v>
      </c>
      <c r="F59" s="122">
        <f t="shared" si="9"/>
        <v>434</v>
      </c>
      <c r="G59" s="122">
        <f t="shared" si="10"/>
        <v>416</v>
      </c>
      <c r="H59" s="122">
        <f>117+67</f>
        <v>184</v>
      </c>
      <c r="I59" s="247">
        <v>0</v>
      </c>
      <c r="J59" s="122">
        <v>232</v>
      </c>
      <c r="K59" s="247">
        <v>0</v>
      </c>
      <c r="L59" s="122">
        <f t="shared" si="11"/>
        <v>18</v>
      </c>
      <c r="M59" s="247">
        <v>0</v>
      </c>
      <c r="N59" s="247">
        <v>0</v>
      </c>
      <c r="O59" s="122">
        <v>18</v>
      </c>
    </row>
    <row r="60" spans="1:15" ht="15.75">
      <c r="A60" s="79">
        <v>26</v>
      </c>
      <c r="B60" s="81" t="s">
        <v>208</v>
      </c>
      <c r="C60" s="122">
        <f t="shared" si="8"/>
        <v>43</v>
      </c>
      <c r="D60" s="122">
        <v>18</v>
      </c>
      <c r="E60" s="122">
        <v>25</v>
      </c>
      <c r="F60" s="122">
        <f t="shared" si="9"/>
        <v>910</v>
      </c>
      <c r="G60" s="122">
        <f t="shared" si="10"/>
        <v>904</v>
      </c>
      <c r="H60" s="122">
        <f>316+324</f>
        <v>640</v>
      </c>
      <c r="I60" s="122">
        <v>19</v>
      </c>
      <c r="J60" s="122">
        <v>245</v>
      </c>
      <c r="K60" s="122"/>
      <c r="L60" s="122">
        <f t="shared" si="11"/>
        <v>6</v>
      </c>
      <c r="M60" s="122"/>
      <c r="N60" s="122"/>
      <c r="O60" s="122">
        <v>6</v>
      </c>
    </row>
    <row r="61" spans="1:15" ht="15.75">
      <c r="A61" s="79">
        <v>27</v>
      </c>
      <c r="B61" s="81" t="s">
        <v>209</v>
      </c>
      <c r="C61" s="122">
        <f t="shared" si="8"/>
        <v>78</v>
      </c>
      <c r="D61" s="122">
        <v>78</v>
      </c>
      <c r="E61" s="247">
        <v>0</v>
      </c>
      <c r="F61" s="122">
        <f t="shared" si="9"/>
        <v>6925</v>
      </c>
      <c r="G61" s="122">
        <f t="shared" si="10"/>
        <v>5874</v>
      </c>
      <c r="H61" s="122">
        <f>647+909</f>
        <v>1556</v>
      </c>
      <c r="I61" s="122">
        <f>48</f>
        <v>48</v>
      </c>
      <c r="J61" s="122">
        <v>4259</v>
      </c>
      <c r="K61" s="122">
        <f>1+3+3+1+2+1</f>
        <v>11</v>
      </c>
      <c r="L61" s="122">
        <f t="shared" si="11"/>
        <v>1051</v>
      </c>
      <c r="M61" s="122">
        <v>16</v>
      </c>
      <c r="N61" s="122">
        <v>8</v>
      </c>
      <c r="O61" s="122">
        <v>1027</v>
      </c>
    </row>
    <row r="62" spans="1:15" ht="15.75">
      <c r="A62" s="79">
        <v>28</v>
      </c>
      <c r="B62" s="81" t="s">
        <v>210</v>
      </c>
      <c r="C62" s="122">
        <f t="shared" si="8"/>
        <v>61</v>
      </c>
      <c r="D62" s="122">
        <v>14</v>
      </c>
      <c r="E62" s="122">
        <v>47</v>
      </c>
      <c r="F62" s="122">
        <f>G62+L62</f>
        <v>1006</v>
      </c>
      <c r="G62" s="122">
        <f>H62+I62+J62+K62</f>
        <v>1006</v>
      </c>
      <c r="H62" s="122">
        <f>119+159</f>
        <v>278</v>
      </c>
      <c r="I62" s="247">
        <v>0</v>
      </c>
      <c r="J62" s="122">
        <v>725</v>
      </c>
      <c r="K62" s="122">
        <v>3</v>
      </c>
      <c r="L62" s="264">
        <f t="shared" si="11"/>
        <v>0</v>
      </c>
      <c r="M62" s="247">
        <v>0</v>
      </c>
      <c r="N62" s="247">
        <v>0</v>
      </c>
      <c r="O62" s="247">
        <v>0</v>
      </c>
    </row>
    <row r="63" spans="1:15" ht="15.75">
      <c r="A63" s="79">
        <v>29</v>
      </c>
      <c r="B63" s="81" t="s">
        <v>211</v>
      </c>
      <c r="C63" s="122">
        <f t="shared" si="8"/>
        <v>50</v>
      </c>
      <c r="D63" s="122">
        <v>13</v>
      </c>
      <c r="E63" s="122">
        <v>37</v>
      </c>
      <c r="F63" s="122">
        <f t="shared" si="9"/>
        <v>568</v>
      </c>
      <c r="G63" s="122">
        <f t="shared" si="10"/>
        <v>568</v>
      </c>
      <c r="H63" s="122">
        <f>207+133</f>
        <v>340</v>
      </c>
      <c r="I63" s="247">
        <v>0</v>
      </c>
      <c r="J63" s="122">
        <v>228</v>
      </c>
      <c r="K63" s="247">
        <v>0</v>
      </c>
      <c r="L63" s="264">
        <f t="shared" si="11"/>
        <v>0</v>
      </c>
      <c r="M63" s="247">
        <v>0</v>
      </c>
      <c r="N63" s="247">
        <v>0</v>
      </c>
      <c r="O63" s="247">
        <v>0</v>
      </c>
    </row>
    <row r="64" spans="1:15" ht="15.75">
      <c r="A64" s="79">
        <v>30</v>
      </c>
      <c r="B64" s="81" t="s">
        <v>212</v>
      </c>
      <c r="C64" s="122">
        <f t="shared" si="8"/>
        <v>15</v>
      </c>
      <c r="D64" s="122">
        <v>15</v>
      </c>
      <c r="E64" s="247">
        <v>0</v>
      </c>
      <c r="F64" s="122">
        <f t="shared" si="9"/>
        <v>570</v>
      </c>
      <c r="G64" s="122">
        <f t="shared" si="10"/>
        <v>410</v>
      </c>
      <c r="H64" s="122">
        <f>123+0</f>
        <v>123</v>
      </c>
      <c r="I64" s="122">
        <v>15</v>
      </c>
      <c r="J64" s="122">
        <v>272</v>
      </c>
      <c r="K64" s="247">
        <v>0</v>
      </c>
      <c r="L64" s="122">
        <f t="shared" si="11"/>
        <v>160</v>
      </c>
      <c r="M64" s="122">
        <v>160</v>
      </c>
      <c r="N64" s="247">
        <v>0</v>
      </c>
      <c r="O64" s="247">
        <v>0</v>
      </c>
    </row>
    <row r="65" spans="1:15" ht="15.75">
      <c r="A65" s="79">
        <v>31</v>
      </c>
      <c r="B65" s="81" t="s">
        <v>213</v>
      </c>
      <c r="C65" s="122">
        <f t="shared" si="8"/>
        <v>94</v>
      </c>
      <c r="D65" s="122">
        <v>91</v>
      </c>
      <c r="E65" s="122">
        <v>3</v>
      </c>
      <c r="F65" s="122">
        <f t="shared" si="9"/>
        <v>953</v>
      </c>
      <c r="G65" s="122">
        <f t="shared" si="10"/>
        <v>884</v>
      </c>
      <c r="H65" s="122">
        <v>639</v>
      </c>
      <c r="I65" s="122">
        <v>2</v>
      </c>
      <c r="J65" s="122">
        <v>243</v>
      </c>
      <c r="K65" s="247">
        <v>0</v>
      </c>
      <c r="L65" s="122">
        <f t="shared" si="11"/>
        <v>69</v>
      </c>
      <c r="M65" s="247">
        <v>0</v>
      </c>
      <c r="N65" s="122">
        <v>69</v>
      </c>
      <c r="O65" s="247">
        <v>0</v>
      </c>
    </row>
    <row r="66" spans="1:15" ht="15.75">
      <c r="A66" s="79">
        <v>32</v>
      </c>
      <c r="B66" s="81" t="s">
        <v>214</v>
      </c>
      <c r="C66" s="122">
        <f t="shared" si="8"/>
        <v>60</v>
      </c>
      <c r="D66" s="122">
        <v>60</v>
      </c>
      <c r="E66" s="247">
        <v>0</v>
      </c>
      <c r="F66" s="122">
        <f t="shared" si="9"/>
        <v>1463</v>
      </c>
      <c r="G66" s="122">
        <f t="shared" si="10"/>
        <v>1358</v>
      </c>
      <c r="H66" s="122">
        <f>237+688</f>
        <v>925</v>
      </c>
      <c r="I66" s="247">
        <v>0</v>
      </c>
      <c r="J66" s="122">
        <v>423</v>
      </c>
      <c r="K66" s="122">
        <f>1+9</f>
        <v>10</v>
      </c>
      <c r="L66" s="122">
        <f t="shared" si="11"/>
        <v>105</v>
      </c>
      <c r="M66" s="122">
        <v>58</v>
      </c>
      <c r="N66" s="247">
        <v>0</v>
      </c>
      <c r="O66" s="122">
        <v>47</v>
      </c>
    </row>
    <row r="67" spans="1:15" ht="15.75">
      <c r="A67" s="79">
        <v>33</v>
      </c>
      <c r="B67" s="81" t="s">
        <v>215</v>
      </c>
      <c r="C67" s="122">
        <f t="shared" si="8"/>
        <v>57</v>
      </c>
      <c r="D67" s="122">
        <v>53</v>
      </c>
      <c r="E67" s="122">
        <v>4</v>
      </c>
      <c r="F67" s="122">
        <f t="shared" si="9"/>
        <v>426</v>
      </c>
      <c r="G67" s="122">
        <f t="shared" si="10"/>
        <v>376</v>
      </c>
      <c r="H67" s="122">
        <f>100+240</f>
        <v>340</v>
      </c>
      <c r="I67" s="247">
        <v>0</v>
      </c>
      <c r="J67" s="122">
        <v>36</v>
      </c>
      <c r="K67" s="247">
        <v>0</v>
      </c>
      <c r="L67" s="122">
        <f t="shared" si="11"/>
        <v>50</v>
      </c>
      <c r="M67" s="247">
        <v>0</v>
      </c>
      <c r="N67" s="247">
        <v>0</v>
      </c>
      <c r="O67" s="122">
        <v>50</v>
      </c>
    </row>
    <row r="68" spans="1:15" ht="15.75">
      <c r="A68" s="79">
        <v>34</v>
      </c>
      <c r="B68" s="81" t="s">
        <v>216</v>
      </c>
      <c r="C68" s="122">
        <f t="shared" si="8"/>
        <v>77</v>
      </c>
      <c r="D68" s="122">
        <v>53</v>
      </c>
      <c r="E68" s="122">
        <v>24</v>
      </c>
      <c r="F68" s="122">
        <f t="shared" si="9"/>
        <v>617</v>
      </c>
      <c r="G68" s="122">
        <f t="shared" si="10"/>
        <v>617</v>
      </c>
      <c r="H68" s="122">
        <v>150</v>
      </c>
      <c r="I68" s="247">
        <v>0</v>
      </c>
      <c r="J68" s="122">
        <v>467</v>
      </c>
      <c r="K68" s="247">
        <v>0</v>
      </c>
      <c r="L68" s="264">
        <f t="shared" si="11"/>
        <v>0</v>
      </c>
      <c r="M68" s="247">
        <v>0</v>
      </c>
      <c r="N68" s="247">
        <v>0</v>
      </c>
      <c r="O68" s="247">
        <v>0</v>
      </c>
    </row>
    <row r="69" spans="1:15" ht="15.75">
      <c r="A69" s="79">
        <v>35</v>
      </c>
      <c r="B69" s="81" t="s">
        <v>217</v>
      </c>
      <c r="C69" s="122">
        <f t="shared" si="8"/>
        <v>54</v>
      </c>
      <c r="D69" s="122">
        <v>54</v>
      </c>
      <c r="E69" s="247">
        <v>0</v>
      </c>
      <c r="F69" s="122">
        <f t="shared" si="9"/>
        <v>1687</v>
      </c>
      <c r="G69" s="122">
        <f t="shared" si="10"/>
        <v>507</v>
      </c>
      <c r="H69" s="122">
        <f>131</f>
        <v>131</v>
      </c>
      <c r="I69" s="122">
        <v>376</v>
      </c>
      <c r="J69" s="122"/>
      <c r="K69" s="122"/>
      <c r="L69" s="122">
        <f t="shared" si="11"/>
        <v>1180</v>
      </c>
      <c r="M69" s="122">
        <v>105</v>
      </c>
      <c r="N69" s="122"/>
      <c r="O69" s="122">
        <v>1075</v>
      </c>
    </row>
    <row r="70" spans="1:15" ht="15.75">
      <c r="A70" s="79">
        <v>36</v>
      </c>
      <c r="B70" s="82" t="s">
        <v>218</v>
      </c>
      <c r="C70" s="122">
        <f t="shared" si="8"/>
        <v>43</v>
      </c>
      <c r="D70" s="122">
        <v>9</v>
      </c>
      <c r="E70" s="122">
        <v>34</v>
      </c>
      <c r="F70" s="122">
        <f t="shared" si="9"/>
        <v>1235</v>
      </c>
      <c r="G70" s="122">
        <f t="shared" si="10"/>
        <v>1235</v>
      </c>
      <c r="H70" s="122">
        <f>173+553</f>
        <v>726</v>
      </c>
      <c r="I70" s="247">
        <v>0</v>
      </c>
      <c r="J70" s="122">
        <v>437</v>
      </c>
      <c r="K70" s="122">
        <f>0+69+2+1</f>
        <v>72</v>
      </c>
      <c r="L70" s="264">
        <f t="shared" si="11"/>
        <v>0</v>
      </c>
      <c r="M70" s="247">
        <v>0</v>
      </c>
      <c r="N70" s="247">
        <v>0</v>
      </c>
      <c r="O70" s="247">
        <v>0</v>
      </c>
    </row>
    <row r="71" spans="1:15" ht="15.75">
      <c r="A71" s="79">
        <v>37</v>
      </c>
      <c r="B71" s="82" t="s">
        <v>219</v>
      </c>
      <c r="C71" s="122">
        <f t="shared" si="8"/>
        <v>33</v>
      </c>
      <c r="D71" s="122">
        <v>33</v>
      </c>
      <c r="E71" s="247">
        <v>0</v>
      </c>
      <c r="F71" s="122">
        <f t="shared" si="9"/>
        <v>601</v>
      </c>
      <c r="G71" s="122">
        <f t="shared" si="10"/>
        <v>595</v>
      </c>
      <c r="H71" s="122">
        <f>227+139</f>
        <v>366</v>
      </c>
      <c r="I71" s="247">
        <v>0</v>
      </c>
      <c r="J71" s="122">
        <v>229</v>
      </c>
      <c r="K71" s="247">
        <v>0</v>
      </c>
      <c r="L71" s="122">
        <f t="shared" si="11"/>
        <v>6</v>
      </c>
      <c r="M71" s="122">
        <v>1</v>
      </c>
      <c r="N71" s="247">
        <v>0</v>
      </c>
      <c r="O71" s="122">
        <v>5</v>
      </c>
    </row>
    <row r="72" spans="1:15" ht="15.75">
      <c r="A72" s="79">
        <v>38</v>
      </c>
      <c r="B72" s="82" t="s">
        <v>220</v>
      </c>
      <c r="C72" s="122">
        <f t="shared" si="8"/>
        <v>77</v>
      </c>
      <c r="D72" s="122">
        <v>77</v>
      </c>
      <c r="E72" s="247">
        <v>0</v>
      </c>
      <c r="F72" s="122">
        <f t="shared" si="9"/>
        <v>3548</v>
      </c>
      <c r="G72" s="122">
        <f t="shared" si="10"/>
        <v>2587</v>
      </c>
      <c r="H72" s="122">
        <f>844+1209</f>
        <v>2053</v>
      </c>
      <c r="I72" s="122">
        <v>22</v>
      </c>
      <c r="J72" s="122">
        <v>500</v>
      </c>
      <c r="K72" s="122">
        <f>4+2+1+5+0+0</f>
        <v>12</v>
      </c>
      <c r="L72" s="122">
        <f t="shared" si="11"/>
        <v>961</v>
      </c>
      <c r="M72" s="122">
        <v>50</v>
      </c>
      <c r="N72" s="122">
        <v>816</v>
      </c>
      <c r="O72" s="122">
        <v>95</v>
      </c>
    </row>
    <row r="73" spans="1:15" ht="15.75">
      <c r="A73" s="79">
        <v>39</v>
      </c>
      <c r="B73" s="82" t="s">
        <v>221</v>
      </c>
      <c r="C73" s="122">
        <f t="shared" si="8"/>
        <v>69</v>
      </c>
      <c r="D73" s="122">
        <v>69</v>
      </c>
      <c r="E73" s="122"/>
      <c r="F73" s="122">
        <f t="shared" si="9"/>
        <v>1726</v>
      </c>
      <c r="G73" s="122">
        <f t="shared" si="10"/>
        <v>1675</v>
      </c>
      <c r="H73" s="122">
        <f>283+123</f>
        <v>406</v>
      </c>
      <c r="I73" s="122">
        <v>12</v>
      </c>
      <c r="J73" s="122">
        <v>1256</v>
      </c>
      <c r="K73" s="122">
        <v>1</v>
      </c>
      <c r="L73" s="122">
        <f t="shared" si="11"/>
        <v>51</v>
      </c>
      <c r="M73" s="122"/>
      <c r="N73" s="122"/>
      <c r="O73" s="122">
        <v>51</v>
      </c>
    </row>
    <row r="74" spans="1:15" ht="15.75">
      <c r="A74" s="79">
        <v>40</v>
      </c>
      <c r="B74" s="82" t="s">
        <v>222</v>
      </c>
      <c r="C74" s="122">
        <f t="shared" si="8"/>
        <v>105</v>
      </c>
      <c r="D74" s="122">
        <v>105</v>
      </c>
      <c r="E74" s="247">
        <v>0</v>
      </c>
      <c r="F74" s="122">
        <f t="shared" si="9"/>
        <v>2311</v>
      </c>
      <c r="G74" s="122">
        <f t="shared" si="10"/>
        <v>2081</v>
      </c>
      <c r="H74" s="122">
        <f>233+616</f>
        <v>849</v>
      </c>
      <c r="I74" s="122">
        <v>22</v>
      </c>
      <c r="J74" s="122">
        <v>1210</v>
      </c>
      <c r="K74" s="247">
        <v>0</v>
      </c>
      <c r="L74" s="122">
        <f t="shared" si="11"/>
        <v>230</v>
      </c>
      <c r="M74" s="247">
        <v>0</v>
      </c>
      <c r="N74" s="122">
        <v>229</v>
      </c>
      <c r="O74" s="122">
        <v>1</v>
      </c>
    </row>
    <row r="75" spans="1:15" ht="15.75">
      <c r="A75" s="79">
        <v>41</v>
      </c>
      <c r="B75" s="82" t="s">
        <v>223</v>
      </c>
      <c r="C75" s="122">
        <f t="shared" si="8"/>
        <v>23</v>
      </c>
      <c r="D75" s="122">
        <v>23</v>
      </c>
      <c r="E75" s="247">
        <v>0</v>
      </c>
      <c r="F75" s="122">
        <f t="shared" si="9"/>
        <v>563</v>
      </c>
      <c r="G75" s="122">
        <f t="shared" si="10"/>
        <v>553</v>
      </c>
      <c r="H75" s="122">
        <f>176+46</f>
        <v>222</v>
      </c>
      <c r="I75" s="122">
        <v>2</v>
      </c>
      <c r="J75" s="122">
        <v>329</v>
      </c>
      <c r="K75" s="247">
        <v>0</v>
      </c>
      <c r="L75" s="122">
        <f t="shared" si="11"/>
        <v>10</v>
      </c>
      <c r="M75" s="122">
        <v>1</v>
      </c>
      <c r="N75" s="247">
        <v>0</v>
      </c>
      <c r="O75" s="122">
        <v>9</v>
      </c>
    </row>
    <row r="76" spans="1:15" ht="15.75">
      <c r="A76" s="79">
        <v>42</v>
      </c>
      <c r="B76" s="82" t="s">
        <v>224</v>
      </c>
      <c r="C76" s="122">
        <f t="shared" si="8"/>
        <v>49</v>
      </c>
      <c r="D76" s="122">
        <v>30</v>
      </c>
      <c r="E76" s="122">
        <v>19</v>
      </c>
      <c r="F76" s="122">
        <f t="shared" si="9"/>
        <v>1121</v>
      </c>
      <c r="G76" s="122">
        <f t="shared" si="10"/>
        <v>1119</v>
      </c>
      <c r="H76" s="122">
        <v>175</v>
      </c>
      <c r="I76" s="247">
        <v>0</v>
      </c>
      <c r="J76" s="122">
        <v>692</v>
      </c>
      <c r="K76" s="122">
        <v>252</v>
      </c>
      <c r="L76" s="122">
        <f t="shared" si="11"/>
        <v>2</v>
      </c>
      <c r="M76" s="247">
        <v>0</v>
      </c>
      <c r="N76" s="247">
        <v>0</v>
      </c>
      <c r="O76" s="122">
        <v>2</v>
      </c>
    </row>
    <row r="77" spans="1:15" ht="15.75">
      <c r="A77" s="79">
        <v>43</v>
      </c>
      <c r="B77" s="82" t="s">
        <v>225</v>
      </c>
      <c r="C77" s="122">
        <f t="shared" si="8"/>
        <v>35</v>
      </c>
      <c r="D77" s="122">
        <v>35</v>
      </c>
      <c r="E77" s="247">
        <v>0</v>
      </c>
      <c r="F77" s="122">
        <f t="shared" si="9"/>
        <v>2337</v>
      </c>
      <c r="G77" s="122">
        <f t="shared" si="10"/>
        <v>1652</v>
      </c>
      <c r="H77" s="122">
        <f>308+165</f>
        <v>473</v>
      </c>
      <c r="I77" s="122">
        <v>12</v>
      </c>
      <c r="J77" s="122">
        <v>1167</v>
      </c>
      <c r="K77" s="247">
        <v>0</v>
      </c>
      <c r="L77" s="122">
        <f t="shared" si="11"/>
        <v>685</v>
      </c>
      <c r="M77" s="122">
        <v>1</v>
      </c>
      <c r="N77" s="122">
        <v>22</v>
      </c>
      <c r="O77" s="122">
        <v>662</v>
      </c>
    </row>
    <row r="78" spans="1:15" ht="15.75">
      <c r="A78" s="79">
        <v>44</v>
      </c>
      <c r="B78" s="82" t="s">
        <v>226</v>
      </c>
      <c r="C78" s="122">
        <f t="shared" si="8"/>
        <v>59</v>
      </c>
      <c r="D78" s="122">
        <v>59</v>
      </c>
      <c r="E78" s="122"/>
      <c r="F78" s="122">
        <f t="shared" si="9"/>
        <v>1038</v>
      </c>
      <c r="G78" s="122">
        <f t="shared" si="10"/>
        <v>1037</v>
      </c>
      <c r="H78" s="122">
        <f>246+454</f>
        <v>700</v>
      </c>
      <c r="I78" s="122"/>
      <c r="J78" s="122">
        <v>194</v>
      </c>
      <c r="K78" s="122">
        <f>0+2+2+136+3</f>
        <v>143</v>
      </c>
      <c r="L78" s="122">
        <f t="shared" si="11"/>
        <v>1</v>
      </c>
      <c r="M78" s="122">
        <v>1</v>
      </c>
      <c r="N78" s="122"/>
      <c r="O78" s="122"/>
    </row>
    <row r="79" spans="1:15" s="71" customFormat="1" ht="15.75">
      <c r="A79" s="79">
        <v>45</v>
      </c>
      <c r="B79" s="83" t="s">
        <v>231</v>
      </c>
      <c r="C79" s="122">
        <f t="shared" si="8"/>
        <v>67</v>
      </c>
      <c r="D79" s="122">
        <v>40</v>
      </c>
      <c r="E79" s="122">
        <v>27</v>
      </c>
      <c r="F79" s="122">
        <f t="shared" si="9"/>
        <v>1575</v>
      </c>
      <c r="G79" s="122">
        <f t="shared" si="10"/>
        <v>547</v>
      </c>
      <c r="H79" s="122">
        <f>166+86</f>
        <v>252</v>
      </c>
      <c r="I79" s="122">
        <v>3</v>
      </c>
      <c r="J79" s="122">
        <v>292</v>
      </c>
      <c r="K79" s="122"/>
      <c r="L79" s="122">
        <f t="shared" si="11"/>
        <v>1028</v>
      </c>
      <c r="M79" s="122"/>
      <c r="N79" s="122"/>
      <c r="O79" s="122">
        <v>1028</v>
      </c>
    </row>
    <row r="80" spans="1:15" s="71" customFormat="1" ht="15.75">
      <c r="A80" s="79">
        <v>46</v>
      </c>
      <c r="B80" s="83" t="s">
        <v>232</v>
      </c>
      <c r="C80" s="122">
        <f t="shared" si="8"/>
        <v>15</v>
      </c>
      <c r="D80" s="122">
        <f>6+5</f>
        <v>11</v>
      </c>
      <c r="E80" s="122">
        <v>4</v>
      </c>
      <c r="F80" s="122">
        <f t="shared" si="9"/>
        <v>835</v>
      </c>
      <c r="G80" s="122">
        <f t="shared" si="10"/>
        <v>835</v>
      </c>
      <c r="H80" s="122">
        <f>303+532</f>
        <v>835</v>
      </c>
      <c r="I80" s="122"/>
      <c r="J80" s="122"/>
      <c r="K80" s="122"/>
      <c r="L80" s="264">
        <f t="shared" si="11"/>
        <v>0</v>
      </c>
      <c r="M80" s="122"/>
      <c r="N80" s="122"/>
      <c r="O80" s="122"/>
    </row>
    <row r="81" spans="1:15" s="71" customFormat="1" ht="15.75">
      <c r="A81" s="79">
        <v>47</v>
      </c>
      <c r="B81" s="83" t="s">
        <v>233</v>
      </c>
      <c r="C81" s="122">
        <f t="shared" si="8"/>
        <v>53</v>
      </c>
      <c r="D81" s="122">
        <v>21</v>
      </c>
      <c r="E81" s="122">
        <v>32</v>
      </c>
      <c r="F81" s="122">
        <f t="shared" si="9"/>
        <v>1474</v>
      </c>
      <c r="G81" s="122">
        <f t="shared" si="10"/>
        <v>751</v>
      </c>
      <c r="H81" s="122">
        <v>504</v>
      </c>
      <c r="I81" s="122">
        <v>44</v>
      </c>
      <c r="J81" s="122">
        <v>174</v>
      </c>
      <c r="K81" s="122">
        <v>29</v>
      </c>
      <c r="L81" s="122">
        <f t="shared" si="11"/>
        <v>723</v>
      </c>
      <c r="M81" s="122">
        <v>4</v>
      </c>
      <c r="N81" s="122">
        <v>10</v>
      </c>
      <c r="O81" s="122">
        <v>709</v>
      </c>
    </row>
    <row r="82" spans="1:15" s="71" customFormat="1" ht="15.75">
      <c r="A82" s="79">
        <v>48</v>
      </c>
      <c r="B82" s="83" t="s">
        <v>234</v>
      </c>
      <c r="C82" s="122">
        <f t="shared" si="8"/>
        <v>19</v>
      </c>
      <c r="D82" s="122">
        <v>19</v>
      </c>
      <c r="E82" s="247">
        <v>0</v>
      </c>
      <c r="F82" s="122">
        <f t="shared" si="9"/>
        <v>2793</v>
      </c>
      <c r="G82" s="122">
        <f t="shared" si="10"/>
        <v>2787</v>
      </c>
      <c r="H82" s="122">
        <f>552+973</f>
        <v>1525</v>
      </c>
      <c r="I82" s="122">
        <v>6</v>
      </c>
      <c r="J82" s="122">
        <v>1256</v>
      </c>
      <c r="K82" s="247">
        <v>0</v>
      </c>
      <c r="L82" s="122">
        <f t="shared" si="11"/>
        <v>6</v>
      </c>
      <c r="M82" s="247">
        <v>0</v>
      </c>
      <c r="N82" s="247">
        <v>0</v>
      </c>
      <c r="O82" s="122">
        <v>6</v>
      </c>
    </row>
    <row r="83" spans="1:15" s="71" customFormat="1" ht="15.75">
      <c r="A83" s="79">
        <v>49</v>
      </c>
      <c r="B83" s="83" t="s">
        <v>235</v>
      </c>
      <c r="C83" s="122">
        <f t="shared" si="8"/>
        <v>14</v>
      </c>
      <c r="D83" s="122">
        <v>14</v>
      </c>
      <c r="E83" s="122"/>
      <c r="F83" s="122">
        <f t="shared" si="9"/>
        <v>830</v>
      </c>
      <c r="G83" s="122">
        <f t="shared" si="10"/>
        <v>829</v>
      </c>
      <c r="H83" s="122">
        <f>204+223</f>
        <v>427</v>
      </c>
      <c r="I83" s="122"/>
      <c r="J83" s="122">
        <v>402</v>
      </c>
      <c r="K83" s="122"/>
      <c r="L83" s="122">
        <f t="shared" si="11"/>
        <v>1</v>
      </c>
      <c r="M83" s="122">
        <v>1</v>
      </c>
      <c r="N83" s="247">
        <v>0</v>
      </c>
      <c r="O83" s="247">
        <v>0</v>
      </c>
    </row>
    <row r="84" spans="1:15" s="71" customFormat="1" ht="15.75">
      <c r="A84" s="79">
        <v>50</v>
      </c>
      <c r="B84" s="83" t="s">
        <v>236</v>
      </c>
      <c r="C84" s="122">
        <f t="shared" si="8"/>
        <v>89</v>
      </c>
      <c r="D84" s="122">
        <v>82</v>
      </c>
      <c r="E84" s="122">
        <v>7</v>
      </c>
      <c r="F84" s="122">
        <f t="shared" si="9"/>
        <v>2026</v>
      </c>
      <c r="G84" s="122">
        <f t="shared" si="10"/>
        <v>1430</v>
      </c>
      <c r="H84" s="122">
        <f>219+1091</f>
        <v>1310</v>
      </c>
      <c r="I84" s="247">
        <v>0</v>
      </c>
      <c r="J84" s="122">
        <v>71</v>
      </c>
      <c r="K84" s="122">
        <f>0+1+28+16+0+4+0</f>
        <v>49</v>
      </c>
      <c r="L84" s="122">
        <f t="shared" si="11"/>
        <v>596</v>
      </c>
      <c r="M84" s="247">
        <v>0</v>
      </c>
      <c r="N84" s="247">
        <v>0</v>
      </c>
      <c r="O84" s="122">
        <v>596</v>
      </c>
    </row>
    <row r="85" spans="1:15" s="71" customFormat="1" ht="15.75">
      <c r="A85" s="79">
        <v>51</v>
      </c>
      <c r="B85" s="84" t="s">
        <v>237</v>
      </c>
      <c r="C85" s="122">
        <f t="shared" si="8"/>
        <v>61</v>
      </c>
      <c r="D85" s="122">
        <v>24</v>
      </c>
      <c r="E85" s="122">
        <v>37</v>
      </c>
      <c r="F85" s="122">
        <f t="shared" si="9"/>
        <v>1156</v>
      </c>
      <c r="G85" s="122">
        <f t="shared" si="10"/>
        <v>1156</v>
      </c>
      <c r="H85" s="122">
        <f>140+141</f>
        <v>281</v>
      </c>
      <c r="I85" s="247">
        <v>0</v>
      </c>
      <c r="J85" s="122">
        <v>875</v>
      </c>
      <c r="K85" s="247">
        <v>0</v>
      </c>
      <c r="L85" s="264">
        <f t="shared" si="11"/>
        <v>0</v>
      </c>
      <c r="M85" s="247">
        <v>0</v>
      </c>
      <c r="N85" s="247">
        <v>0</v>
      </c>
      <c r="O85" s="247">
        <v>0</v>
      </c>
    </row>
    <row r="86" spans="1:15" s="71" customFormat="1" ht="15.75">
      <c r="A86" s="79">
        <v>52</v>
      </c>
      <c r="B86" s="84" t="s">
        <v>238</v>
      </c>
      <c r="C86" s="122">
        <f t="shared" si="8"/>
        <v>88</v>
      </c>
      <c r="D86" s="122">
        <v>88</v>
      </c>
      <c r="E86" s="247">
        <v>0</v>
      </c>
      <c r="F86" s="122">
        <f t="shared" si="9"/>
        <v>1606</v>
      </c>
      <c r="G86" s="122">
        <f t="shared" si="10"/>
        <v>1580</v>
      </c>
      <c r="H86" s="122">
        <f>388+407</f>
        <v>795</v>
      </c>
      <c r="I86" s="247">
        <v>0</v>
      </c>
      <c r="J86" s="122">
        <v>783</v>
      </c>
      <c r="K86" s="122">
        <f>1+1+0</f>
        <v>2</v>
      </c>
      <c r="L86" s="122">
        <f t="shared" si="11"/>
        <v>26</v>
      </c>
      <c r="M86" s="247">
        <v>0</v>
      </c>
      <c r="N86" s="247">
        <v>0</v>
      </c>
      <c r="O86" s="122">
        <v>26</v>
      </c>
    </row>
    <row r="87" spans="1:15" s="71" customFormat="1" ht="15.75">
      <c r="A87" s="79">
        <v>53</v>
      </c>
      <c r="B87" s="84" t="s">
        <v>239</v>
      </c>
      <c r="C87" s="122">
        <f t="shared" si="8"/>
        <v>40</v>
      </c>
      <c r="D87" s="122">
        <v>40</v>
      </c>
      <c r="E87" s="122"/>
      <c r="F87" s="122">
        <f t="shared" si="9"/>
        <v>3921</v>
      </c>
      <c r="G87" s="122">
        <f t="shared" si="10"/>
        <v>1097</v>
      </c>
      <c r="H87" s="122">
        <f>416+332</f>
        <v>748</v>
      </c>
      <c r="I87" s="122">
        <v>12</v>
      </c>
      <c r="J87" s="122">
        <v>337</v>
      </c>
      <c r="K87" s="122"/>
      <c r="L87" s="122">
        <f t="shared" si="11"/>
        <v>2824</v>
      </c>
      <c r="M87" s="122"/>
      <c r="N87" s="122"/>
      <c r="O87" s="122">
        <v>2824</v>
      </c>
    </row>
    <row r="88" spans="1:15" s="71" customFormat="1" ht="15.75">
      <c r="A88" s="79">
        <v>54</v>
      </c>
      <c r="B88" s="84" t="s">
        <v>240</v>
      </c>
      <c r="C88" s="122">
        <f t="shared" si="8"/>
        <v>47</v>
      </c>
      <c r="D88" s="122">
        <v>40</v>
      </c>
      <c r="E88" s="122">
        <v>7</v>
      </c>
      <c r="F88" s="122">
        <f t="shared" si="9"/>
        <v>1447</v>
      </c>
      <c r="G88" s="122">
        <f t="shared" si="10"/>
        <v>1357</v>
      </c>
      <c r="H88" s="122">
        <f>32+359</f>
        <v>391</v>
      </c>
      <c r="I88" s="122">
        <v>22</v>
      </c>
      <c r="J88" s="122">
        <v>902</v>
      </c>
      <c r="K88" s="122">
        <f>5+2+5+6+2+4+18</f>
        <v>42</v>
      </c>
      <c r="L88" s="122">
        <f t="shared" si="11"/>
        <v>90</v>
      </c>
      <c r="M88" s="122">
        <v>12</v>
      </c>
      <c r="N88" s="122">
        <v>4</v>
      </c>
      <c r="O88" s="122">
        <v>74</v>
      </c>
    </row>
    <row r="89" spans="1:15" s="71" customFormat="1" ht="15.75">
      <c r="A89" s="79">
        <v>55</v>
      </c>
      <c r="B89" s="84" t="s">
        <v>241</v>
      </c>
      <c r="C89" s="122">
        <f t="shared" si="8"/>
        <v>48</v>
      </c>
      <c r="D89" s="122">
        <v>45</v>
      </c>
      <c r="E89" s="122">
        <v>3</v>
      </c>
      <c r="F89" s="122">
        <f t="shared" si="9"/>
        <v>1950</v>
      </c>
      <c r="G89" s="122">
        <f t="shared" si="10"/>
        <v>1857</v>
      </c>
      <c r="H89" s="122">
        <f>286+576</f>
        <v>862</v>
      </c>
      <c r="I89" s="122">
        <v>23</v>
      </c>
      <c r="J89" s="122">
        <v>971</v>
      </c>
      <c r="K89" s="122">
        <v>1</v>
      </c>
      <c r="L89" s="122">
        <f t="shared" si="11"/>
        <v>93</v>
      </c>
      <c r="M89" s="247">
        <v>0</v>
      </c>
      <c r="N89" s="122">
        <v>78</v>
      </c>
      <c r="O89" s="122">
        <v>15</v>
      </c>
    </row>
    <row r="90" spans="1:15" s="71" customFormat="1" ht="15.75">
      <c r="A90" s="79">
        <v>56</v>
      </c>
      <c r="B90" s="84" t="s">
        <v>242</v>
      </c>
      <c r="C90" s="122">
        <f t="shared" si="8"/>
        <v>69</v>
      </c>
      <c r="D90" s="122">
        <v>61</v>
      </c>
      <c r="E90" s="122">
        <v>8</v>
      </c>
      <c r="F90" s="122">
        <f t="shared" si="9"/>
        <v>1563</v>
      </c>
      <c r="G90" s="122">
        <f t="shared" si="10"/>
        <v>1563</v>
      </c>
      <c r="H90" s="122">
        <f>345+450</f>
        <v>795</v>
      </c>
      <c r="I90" s="122">
        <v>483</v>
      </c>
      <c r="J90" s="122">
        <v>284</v>
      </c>
      <c r="K90" s="122">
        <v>1</v>
      </c>
      <c r="L90" s="264">
        <f t="shared" si="11"/>
        <v>0</v>
      </c>
      <c r="M90" s="247">
        <v>0</v>
      </c>
      <c r="N90" s="247">
        <v>0</v>
      </c>
      <c r="O90" s="247">
        <v>0</v>
      </c>
    </row>
    <row r="91" spans="1:15" s="71" customFormat="1" ht="15.75">
      <c r="A91" s="79">
        <v>57</v>
      </c>
      <c r="B91" s="84" t="s">
        <v>243</v>
      </c>
      <c r="C91" s="122">
        <f t="shared" si="8"/>
        <v>65</v>
      </c>
      <c r="D91" s="122">
        <v>65</v>
      </c>
      <c r="E91" s="122"/>
      <c r="F91" s="122">
        <f t="shared" si="9"/>
        <v>3280</v>
      </c>
      <c r="G91" s="122">
        <f t="shared" si="10"/>
        <v>1455</v>
      </c>
      <c r="H91" s="122">
        <f>451+314</f>
        <v>765</v>
      </c>
      <c r="I91" s="122">
        <v>129</v>
      </c>
      <c r="J91" s="122">
        <v>561</v>
      </c>
      <c r="K91" s="122"/>
      <c r="L91" s="122">
        <f t="shared" si="11"/>
        <v>1825</v>
      </c>
      <c r="M91" s="122"/>
      <c r="N91" s="122"/>
      <c r="O91" s="122">
        <v>1825</v>
      </c>
    </row>
    <row r="92" spans="1:15" s="71" customFormat="1" ht="15.75">
      <c r="A92" s="79">
        <v>58</v>
      </c>
      <c r="B92" s="84" t="s">
        <v>244</v>
      </c>
      <c r="C92" s="122">
        <f t="shared" si="8"/>
        <v>247</v>
      </c>
      <c r="D92" s="122">
        <v>226</v>
      </c>
      <c r="E92" s="122">
        <v>21</v>
      </c>
      <c r="F92" s="122">
        <f t="shared" si="9"/>
        <v>12004</v>
      </c>
      <c r="G92" s="122">
        <f t="shared" si="10"/>
        <v>10237</v>
      </c>
      <c r="H92" s="122">
        <f>2338+2068</f>
        <v>4406</v>
      </c>
      <c r="I92" s="122">
        <v>326</v>
      </c>
      <c r="J92" s="122">
        <v>5449</v>
      </c>
      <c r="K92" s="122">
        <f>11+4+0+3+38</f>
        <v>56</v>
      </c>
      <c r="L92" s="122">
        <f t="shared" si="11"/>
        <v>1767</v>
      </c>
      <c r="M92" s="122">
        <v>7</v>
      </c>
      <c r="N92" s="122">
        <v>1760</v>
      </c>
      <c r="O92" s="247">
        <v>0</v>
      </c>
    </row>
    <row r="93" spans="1:15" s="71" customFormat="1" ht="15.75">
      <c r="A93" s="79">
        <v>59</v>
      </c>
      <c r="B93" s="84" t="s">
        <v>245</v>
      </c>
      <c r="C93" s="122">
        <f t="shared" si="8"/>
        <v>54</v>
      </c>
      <c r="D93" s="122">
        <v>46</v>
      </c>
      <c r="E93" s="122">
        <v>8</v>
      </c>
      <c r="F93" s="122">
        <f t="shared" si="9"/>
        <v>487</v>
      </c>
      <c r="G93" s="122">
        <f t="shared" si="10"/>
        <v>468</v>
      </c>
      <c r="H93" s="122">
        <f>163+220</f>
        <v>383</v>
      </c>
      <c r="I93" s="247">
        <v>0</v>
      </c>
      <c r="J93" s="122">
        <v>84</v>
      </c>
      <c r="K93" s="122">
        <v>1</v>
      </c>
      <c r="L93" s="122">
        <f t="shared" si="11"/>
        <v>19</v>
      </c>
      <c r="M93" s="247">
        <v>0</v>
      </c>
      <c r="N93" s="247">
        <v>0</v>
      </c>
      <c r="O93" s="122">
        <v>19</v>
      </c>
    </row>
    <row r="94" spans="1:15" s="71" customFormat="1" ht="15.75">
      <c r="A94" s="79">
        <v>60</v>
      </c>
      <c r="B94" s="84" t="s">
        <v>246</v>
      </c>
      <c r="C94" s="122">
        <f t="shared" si="8"/>
        <v>47</v>
      </c>
      <c r="D94" s="122">
        <v>36</v>
      </c>
      <c r="E94" s="122">
        <v>11</v>
      </c>
      <c r="F94" s="122">
        <f t="shared" si="9"/>
        <v>732</v>
      </c>
      <c r="G94" s="122">
        <f t="shared" si="10"/>
        <v>729</v>
      </c>
      <c r="H94" s="122">
        <f>12+170+198+90</f>
        <v>470</v>
      </c>
      <c r="I94" s="247">
        <v>0</v>
      </c>
      <c r="J94" s="122">
        <v>259</v>
      </c>
      <c r="K94" s="247">
        <v>0</v>
      </c>
      <c r="L94" s="122">
        <f t="shared" si="11"/>
        <v>3</v>
      </c>
      <c r="M94" s="122">
        <v>3</v>
      </c>
      <c r="N94" s="247">
        <v>0</v>
      </c>
      <c r="O94" s="247">
        <v>0</v>
      </c>
    </row>
    <row r="95" spans="1:15" s="71" customFormat="1" ht="15.75">
      <c r="A95" s="79">
        <v>61</v>
      </c>
      <c r="B95" s="84" t="s">
        <v>247</v>
      </c>
      <c r="C95" s="122">
        <f t="shared" si="8"/>
        <v>52</v>
      </c>
      <c r="D95" s="122">
        <v>29</v>
      </c>
      <c r="E95" s="122">
        <v>23</v>
      </c>
      <c r="F95" s="122">
        <f t="shared" si="9"/>
        <v>633</v>
      </c>
      <c r="G95" s="122">
        <f t="shared" si="10"/>
        <v>495</v>
      </c>
      <c r="H95" s="122">
        <f>213+132</f>
        <v>345</v>
      </c>
      <c r="I95" s="247">
        <v>0</v>
      </c>
      <c r="J95" s="122">
        <v>99</v>
      </c>
      <c r="K95" s="122">
        <f>0+51+0</f>
        <v>51</v>
      </c>
      <c r="L95" s="122">
        <f t="shared" si="11"/>
        <v>138</v>
      </c>
      <c r="M95" s="247">
        <v>0</v>
      </c>
      <c r="N95" s="247">
        <v>0</v>
      </c>
      <c r="O95" s="122">
        <v>138</v>
      </c>
    </row>
    <row r="96" spans="1:15" s="71" customFormat="1" ht="20.25" customHeight="1">
      <c r="A96" s="79">
        <v>62</v>
      </c>
      <c r="B96" s="84" t="s">
        <v>248</v>
      </c>
      <c r="C96" s="122">
        <f t="shared" si="8"/>
        <v>112</v>
      </c>
      <c r="D96" s="122">
        <v>108</v>
      </c>
      <c r="E96" s="122">
        <v>4</v>
      </c>
      <c r="F96" s="122">
        <f t="shared" si="9"/>
        <v>5052</v>
      </c>
      <c r="G96" s="122">
        <f t="shared" si="10"/>
        <v>1628</v>
      </c>
      <c r="H96" s="122">
        <f>251+439</f>
        <v>690</v>
      </c>
      <c r="I96" s="122">
        <v>41</v>
      </c>
      <c r="J96" s="122">
        <v>879</v>
      </c>
      <c r="K96" s="122">
        <v>18</v>
      </c>
      <c r="L96" s="122">
        <f t="shared" si="11"/>
        <v>3424</v>
      </c>
      <c r="M96" s="122"/>
      <c r="N96" s="122"/>
      <c r="O96" s="122">
        <v>3424</v>
      </c>
    </row>
    <row r="97" spans="1:15" s="71" customFormat="1" ht="15.75">
      <c r="A97" s="79">
        <v>63</v>
      </c>
      <c r="B97" s="84" t="s">
        <v>249</v>
      </c>
      <c r="C97" s="122">
        <f t="shared" si="8"/>
        <v>46</v>
      </c>
      <c r="D97" s="122">
        <v>46</v>
      </c>
      <c r="E97" s="122"/>
      <c r="F97" s="122">
        <f t="shared" si="9"/>
        <v>602</v>
      </c>
      <c r="G97" s="122">
        <f t="shared" si="10"/>
        <v>590</v>
      </c>
      <c r="H97" s="122">
        <f>137+108</f>
        <v>245</v>
      </c>
      <c r="I97" s="122">
        <v>6</v>
      </c>
      <c r="J97" s="122">
        <v>301</v>
      </c>
      <c r="K97" s="122">
        <f>0+37+1+0</f>
        <v>38</v>
      </c>
      <c r="L97" s="122">
        <f t="shared" si="11"/>
        <v>12</v>
      </c>
      <c r="M97" s="247">
        <v>0</v>
      </c>
      <c r="N97" s="122">
        <v>7</v>
      </c>
      <c r="O97" s="122">
        <v>5</v>
      </c>
    </row>
    <row r="98" ht="12.75">
      <c r="B98" s="14"/>
    </row>
    <row r="99" spans="1:15" s="102" customFormat="1" ht="12.75">
      <c r="A99" s="32"/>
      <c r="B99" s="32" t="s">
        <v>252</v>
      </c>
      <c r="C99" s="32" t="s">
        <v>303</v>
      </c>
      <c r="D99" s="32"/>
      <c r="E99" s="32"/>
      <c r="F99" s="32"/>
      <c r="G99" s="32"/>
      <c r="H99" s="32"/>
      <c r="I99" s="32"/>
      <c r="J99" s="32"/>
      <c r="K99" s="100"/>
      <c r="L99" s="32"/>
      <c r="M99" s="32"/>
      <c r="N99" s="32"/>
      <c r="O99" s="32"/>
    </row>
    <row r="100" spans="1:15" s="102" customFormat="1" ht="12.75">
      <c r="A100" s="32"/>
      <c r="B100" s="32" t="s">
        <v>304</v>
      </c>
      <c r="C100" s="32" t="s">
        <v>305</v>
      </c>
      <c r="D100" s="32"/>
      <c r="E100" s="32"/>
      <c r="F100" s="32"/>
      <c r="G100" s="32"/>
      <c r="H100" s="32"/>
      <c r="I100" s="32"/>
      <c r="J100" s="32"/>
      <c r="K100" s="100"/>
      <c r="L100" s="32"/>
      <c r="M100" s="32"/>
      <c r="N100" s="32"/>
      <c r="O100" s="32"/>
    </row>
    <row r="101" spans="1:15" s="99" customFormat="1" ht="12.75">
      <c r="A101" s="32"/>
      <c r="B101" s="32" t="s">
        <v>278</v>
      </c>
      <c r="C101" s="32" t="s">
        <v>306</v>
      </c>
      <c r="E101" s="32"/>
      <c r="F101" s="32"/>
      <c r="G101" s="32"/>
      <c r="H101" s="32"/>
      <c r="I101" s="32"/>
      <c r="J101" s="32"/>
      <c r="K101" s="100"/>
      <c r="L101" s="32"/>
      <c r="M101" s="32"/>
      <c r="N101" s="32"/>
      <c r="O101" s="32"/>
    </row>
    <row r="102" ht="12.75">
      <c r="B102" s="14"/>
    </row>
    <row r="103" ht="12.75">
      <c r="B103" s="32" t="s">
        <v>310</v>
      </c>
    </row>
    <row r="104" ht="12.75">
      <c r="B104" s="14"/>
    </row>
    <row r="105" ht="12.75">
      <c r="B105" s="14"/>
    </row>
    <row r="106" ht="12.75">
      <c r="B106" s="14"/>
    </row>
    <row r="107" ht="12.75">
      <c r="B107" s="14"/>
    </row>
    <row r="108" ht="12.75">
      <c r="B108" s="14"/>
    </row>
    <row r="109" ht="12.75">
      <c r="B109" s="14"/>
    </row>
    <row r="110" ht="12.75">
      <c r="B110" s="14"/>
    </row>
    <row r="111" ht="12.75">
      <c r="B111" s="14"/>
    </row>
    <row r="112" ht="12.75">
      <c r="B112" s="14"/>
    </row>
    <row r="113" ht="12.75">
      <c r="B113" s="14"/>
    </row>
    <row r="114" ht="12.75">
      <c r="B114" s="14"/>
    </row>
    <row r="115" spans="1:15" s="46" customFormat="1" ht="12.75">
      <c r="A115" s="14"/>
      <c r="B115" s="14"/>
      <c r="C115" s="14"/>
      <c r="D115" s="14"/>
      <c r="E115" s="14"/>
      <c r="F115" s="14"/>
      <c r="G115" s="14"/>
      <c r="H115" s="14"/>
      <c r="I115" s="14"/>
      <c r="J115" s="14"/>
      <c r="K115" s="14"/>
      <c r="L115" s="14"/>
      <c r="M115" s="14"/>
      <c r="N115" s="14"/>
      <c r="O115" s="14"/>
    </row>
    <row r="116" ht="12.75">
      <c r="B116" s="14"/>
    </row>
    <row r="117" ht="12.75">
      <c r="B117" s="14"/>
    </row>
    <row r="118" ht="12.75">
      <c r="B118" s="14"/>
    </row>
    <row r="119" ht="12.75">
      <c r="B119" s="14"/>
    </row>
    <row r="120" ht="12.75">
      <c r="B120" s="14"/>
    </row>
    <row r="121" ht="30" customHeight="1">
      <c r="B121" s="14"/>
    </row>
    <row r="122" ht="12.75">
      <c r="B122" s="14"/>
    </row>
    <row r="123" ht="12.75">
      <c r="B123" s="14"/>
    </row>
    <row r="124" ht="12.75">
      <c r="B124" s="14"/>
    </row>
    <row r="125" ht="12.75">
      <c r="B125" s="14"/>
    </row>
    <row r="126" spans="1:15" ht="18">
      <c r="A126" s="26"/>
      <c r="B126" s="26"/>
      <c r="C126" s="26"/>
      <c r="D126" s="26"/>
      <c r="E126" s="26"/>
      <c r="F126" s="26"/>
      <c r="G126" s="26"/>
      <c r="H126" s="26"/>
      <c r="I126" s="26"/>
      <c r="J126" s="26"/>
      <c r="K126" s="26"/>
      <c r="L126" s="26"/>
      <c r="M126" s="26"/>
      <c r="N126" s="26"/>
      <c r="O126" s="26"/>
    </row>
    <row r="127" spans="1:15" ht="18">
      <c r="A127" s="26"/>
      <c r="B127" s="26"/>
      <c r="C127" s="26"/>
      <c r="D127" s="26"/>
      <c r="E127" s="26"/>
      <c r="F127" s="26"/>
      <c r="G127" s="26"/>
      <c r="H127" s="26"/>
      <c r="I127" s="26"/>
      <c r="J127" s="26"/>
      <c r="K127" s="26"/>
      <c r="L127" s="26"/>
      <c r="M127" s="26"/>
      <c r="N127" s="26"/>
      <c r="O127" s="26"/>
    </row>
    <row r="128" spans="1:15" ht="18">
      <c r="A128" s="26"/>
      <c r="B128" s="26"/>
      <c r="C128" s="26"/>
      <c r="D128" s="26"/>
      <c r="E128" s="26"/>
      <c r="F128" s="26"/>
      <c r="G128" s="26"/>
      <c r="H128" s="26"/>
      <c r="I128" s="26"/>
      <c r="J128" s="26"/>
      <c r="K128" s="26"/>
      <c r="L128" s="26"/>
      <c r="M128" s="26"/>
      <c r="N128" s="26"/>
      <c r="O128" s="26"/>
    </row>
    <row r="129" spans="1:15" ht="18">
      <c r="A129" s="26"/>
      <c r="B129" s="26"/>
      <c r="C129" s="26"/>
      <c r="D129" s="26"/>
      <c r="E129" s="26"/>
      <c r="F129" s="26"/>
      <c r="G129" s="26"/>
      <c r="H129" s="26"/>
      <c r="I129" s="26"/>
      <c r="J129" s="26"/>
      <c r="K129" s="26"/>
      <c r="L129" s="26"/>
      <c r="M129" s="26"/>
      <c r="N129" s="26"/>
      <c r="O129" s="26"/>
    </row>
    <row r="130" spans="1:15" ht="18">
      <c r="A130" s="26"/>
      <c r="B130" s="26"/>
      <c r="C130" s="26"/>
      <c r="D130" s="26"/>
      <c r="E130" s="26"/>
      <c r="F130" s="26"/>
      <c r="G130" s="26"/>
      <c r="H130" s="26"/>
      <c r="I130" s="26"/>
      <c r="J130" s="26"/>
      <c r="K130" s="26"/>
      <c r="L130" s="26"/>
      <c r="M130" s="26"/>
      <c r="N130" s="26"/>
      <c r="O130" s="26"/>
    </row>
    <row r="131" spans="1:15" ht="18">
      <c r="A131" s="26"/>
      <c r="B131" s="26"/>
      <c r="C131" s="26"/>
      <c r="D131" s="26"/>
      <c r="E131" s="26"/>
      <c r="F131" s="26"/>
      <c r="G131" s="26"/>
      <c r="H131" s="26"/>
      <c r="I131" s="26"/>
      <c r="J131" s="26"/>
      <c r="K131" s="26"/>
      <c r="L131" s="26"/>
      <c r="M131" s="26"/>
      <c r="N131" s="26"/>
      <c r="O131" s="26"/>
    </row>
    <row r="132" spans="1:15" ht="18">
      <c r="A132" s="26"/>
      <c r="B132" s="26"/>
      <c r="C132" s="26"/>
      <c r="D132" s="26"/>
      <c r="E132" s="26"/>
      <c r="F132" s="26"/>
      <c r="G132" s="26"/>
      <c r="H132" s="26"/>
      <c r="I132" s="26"/>
      <c r="J132" s="26"/>
      <c r="K132" s="26"/>
      <c r="L132" s="26"/>
      <c r="M132" s="26"/>
      <c r="N132" s="26"/>
      <c r="O132" s="26"/>
    </row>
    <row r="133" spans="1:15" ht="18">
      <c r="A133" s="26"/>
      <c r="B133" s="26"/>
      <c r="C133" s="26"/>
      <c r="D133" s="26"/>
      <c r="E133" s="26"/>
      <c r="F133" s="26"/>
      <c r="G133" s="26"/>
      <c r="H133" s="26"/>
      <c r="I133" s="26"/>
      <c r="J133" s="26"/>
      <c r="K133" s="26"/>
      <c r="L133" s="26"/>
      <c r="M133" s="26"/>
      <c r="N133" s="26"/>
      <c r="O133" s="26"/>
    </row>
    <row r="134" spans="1:15" ht="18">
      <c r="A134" s="26"/>
      <c r="B134" s="26"/>
      <c r="C134" s="26"/>
      <c r="D134" s="26"/>
      <c r="E134" s="26"/>
      <c r="F134" s="26"/>
      <c r="G134" s="26"/>
      <c r="H134" s="26"/>
      <c r="I134" s="26"/>
      <c r="J134" s="26"/>
      <c r="K134" s="26"/>
      <c r="L134" s="26"/>
      <c r="M134" s="26"/>
      <c r="N134" s="26"/>
      <c r="O134" s="26"/>
    </row>
    <row r="135" spans="1:15" ht="18">
      <c r="A135" s="26"/>
      <c r="B135" s="26"/>
      <c r="C135" s="26"/>
      <c r="D135" s="26"/>
      <c r="E135" s="26"/>
      <c r="F135" s="26"/>
      <c r="G135" s="26"/>
      <c r="H135" s="26"/>
      <c r="I135" s="26"/>
      <c r="J135" s="26"/>
      <c r="K135" s="26"/>
      <c r="L135" s="26"/>
      <c r="M135" s="26"/>
      <c r="N135" s="26"/>
      <c r="O135" s="26"/>
    </row>
    <row r="136" spans="1:15" ht="18">
      <c r="A136" s="26"/>
      <c r="B136" s="26"/>
      <c r="C136" s="26"/>
      <c r="D136" s="26"/>
      <c r="E136" s="26"/>
      <c r="F136" s="26"/>
      <c r="G136" s="26"/>
      <c r="H136" s="26"/>
      <c r="I136" s="26"/>
      <c r="J136" s="26"/>
      <c r="K136" s="26"/>
      <c r="L136" s="26"/>
      <c r="M136" s="26"/>
      <c r="N136" s="26"/>
      <c r="O136" s="26"/>
    </row>
    <row r="137" spans="1:15" ht="18">
      <c r="A137" s="26"/>
      <c r="B137" s="26"/>
      <c r="C137" s="26"/>
      <c r="D137" s="26"/>
      <c r="E137" s="26"/>
      <c r="F137" s="26"/>
      <c r="G137" s="26"/>
      <c r="H137" s="26"/>
      <c r="I137" s="26"/>
      <c r="J137" s="26"/>
      <c r="K137" s="26"/>
      <c r="L137" s="26"/>
      <c r="M137" s="26"/>
      <c r="N137" s="26"/>
      <c r="O137" s="26"/>
    </row>
    <row r="138" spans="1:15" ht="18">
      <c r="A138" s="26"/>
      <c r="B138" s="26"/>
      <c r="C138" s="26"/>
      <c r="D138" s="26"/>
      <c r="E138" s="26"/>
      <c r="F138" s="26"/>
      <c r="G138" s="26"/>
      <c r="H138" s="26"/>
      <c r="I138" s="26"/>
      <c r="J138" s="26"/>
      <c r="K138" s="26"/>
      <c r="L138" s="26"/>
      <c r="M138" s="26"/>
      <c r="N138" s="26"/>
      <c r="O138" s="26"/>
    </row>
    <row r="139" spans="1:15" ht="18">
      <c r="A139" s="26"/>
      <c r="B139" s="26"/>
      <c r="C139" s="26"/>
      <c r="D139" s="26"/>
      <c r="E139" s="26"/>
      <c r="F139" s="26"/>
      <c r="G139" s="26"/>
      <c r="H139" s="26"/>
      <c r="I139" s="26"/>
      <c r="J139" s="26"/>
      <c r="K139" s="26"/>
      <c r="L139" s="26"/>
      <c r="M139" s="26"/>
      <c r="N139" s="26"/>
      <c r="O139" s="26"/>
    </row>
    <row r="140" spans="1:15" ht="18">
      <c r="A140" s="26"/>
      <c r="B140" s="26"/>
      <c r="C140" s="26"/>
      <c r="D140" s="26"/>
      <c r="E140" s="26"/>
      <c r="F140" s="26"/>
      <c r="G140" s="26"/>
      <c r="H140" s="26"/>
      <c r="I140" s="26"/>
      <c r="J140" s="26"/>
      <c r="K140" s="26"/>
      <c r="L140" s="26"/>
      <c r="M140" s="26"/>
      <c r="N140" s="26"/>
      <c r="O140" s="26"/>
    </row>
    <row r="141" spans="1:15" ht="18">
      <c r="A141" s="26"/>
      <c r="B141" s="26"/>
      <c r="C141" s="26"/>
      <c r="D141" s="26"/>
      <c r="E141" s="26"/>
      <c r="F141" s="26"/>
      <c r="G141" s="26"/>
      <c r="H141" s="26"/>
      <c r="I141" s="26"/>
      <c r="J141" s="26"/>
      <c r="K141" s="26"/>
      <c r="L141" s="26"/>
      <c r="M141" s="26"/>
      <c r="N141" s="26"/>
      <c r="O141" s="26"/>
    </row>
    <row r="142" spans="1:15" ht="18">
      <c r="A142" s="26"/>
      <c r="B142" s="26"/>
      <c r="C142" s="26"/>
      <c r="D142" s="26"/>
      <c r="E142" s="26"/>
      <c r="F142" s="26"/>
      <c r="G142" s="26"/>
      <c r="H142" s="26"/>
      <c r="I142" s="26"/>
      <c r="J142" s="26"/>
      <c r="K142" s="26"/>
      <c r="L142" s="26"/>
      <c r="M142" s="26"/>
      <c r="N142" s="26"/>
      <c r="O142" s="26"/>
    </row>
    <row r="143" spans="1:15" ht="18">
      <c r="A143" s="26"/>
      <c r="B143" s="26"/>
      <c r="C143" s="26"/>
      <c r="D143" s="26"/>
      <c r="E143" s="26"/>
      <c r="F143" s="26"/>
      <c r="G143" s="26"/>
      <c r="H143" s="26"/>
      <c r="I143" s="26"/>
      <c r="J143" s="26"/>
      <c r="K143" s="26"/>
      <c r="L143" s="26"/>
      <c r="M143" s="26"/>
      <c r="N143" s="26"/>
      <c r="O143" s="26"/>
    </row>
    <row r="144" spans="1:15" ht="18">
      <c r="A144" s="26"/>
      <c r="B144" s="26"/>
      <c r="C144" s="26"/>
      <c r="D144" s="26"/>
      <c r="E144" s="26"/>
      <c r="F144" s="26"/>
      <c r="G144" s="26"/>
      <c r="H144" s="26"/>
      <c r="I144" s="26"/>
      <c r="J144" s="26"/>
      <c r="K144" s="26"/>
      <c r="L144" s="26"/>
      <c r="M144" s="26"/>
      <c r="N144" s="26"/>
      <c r="O144" s="26"/>
    </row>
    <row r="145" spans="1:15" ht="18">
      <c r="A145" s="26"/>
      <c r="B145" s="26"/>
      <c r="C145" s="26"/>
      <c r="D145" s="26"/>
      <c r="E145" s="26"/>
      <c r="F145" s="26"/>
      <c r="G145" s="26"/>
      <c r="H145" s="26"/>
      <c r="I145" s="26"/>
      <c r="J145" s="26"/>
      <c r="K145" s="26"/>
      <c r="L145" s="26"/>
      <c r="M145" s="26"/>
      <c r="N145" s="26"/>
      <c r="O145" s="26"/>
    </row>
    <row r="146" spans="1:15" ht="18">
      <c r="A146" s="26"/>
      <c r="B146" s="26"/>
      <c r="C146" s="26"/>
      <c r="D146" s="26"/>
      <c r="E146" s="26"/>
      <c r="F146" s="26"/>
      <c r="G146" s="26"/>
      <c r="H146" s="26"/>
      <c r="I146" s="26"/>
      <c r="J146" s="26"/>
      <c r="K146" s="26"/>
      <c r="L146" s="26"/>
      <c r="M146" s="26"/>
      <c r="N146" s="26"/>
      <c r="O146" s="26"/>
    </row>
    <row r="147" spans="1:15" ht="18">
      <c r="A147" s="26"/>
      <c r="B147" s="26"/>
      <c r="C147" s="26"/>
      <c r="D147" s="26"/>
      <c r="E147" s="26"/>
      <c r="F147" s="26"/>
      <c r="G147" s="26"/>
      <c r="H147" s="26"/>
      <c r="I147" s="26"/>
      <c r="J147" s="26"/>
      <c r="K147" s="26"/>
      <c r="L147" s="26"/>
      <c r="M147" s="26"/>
      <c r="N147" s="26"/>
      <c r="O147" s="26"/>
    </row>
    <row r="148" spans="1:15" ht="18">
      <c r="A148" s="26"/>
      <c r="B148" s="26"/>
      <c r="C148" s="26"/>
      <c r="D148" s="26"/>
      <c r="E148" s="26"/>
      <c r="F148" s="26"/>
      <c r="G148" s="26"/>
      <c r="H148" s="26"/>
      <c r="I148" s="26"/>
      <c r="J148" s="26"/>
      <c r="K148" s="26"/>
      <c r="L148" s="26"/>
      <c r="M148" s="26"/>
      <c r="N148" s="26"/>
      <c r="O148" s="26"/>
    </row>
    <row r="149" spans="1:15" ht="18">
      <c r="A149" s="26"/>
      <c r="B149" s="26"/>
      <c r="C149" s="26"/>
      <c r="D149" s="26"/>
      <c r="E149" s="26"/>
      <c r="F149" s="26"/>
      <c r="G149" s="26"/>
      <c r="H149" s="26"/>
      <c r="I149" s="26"/>
      <c r="J149" s="26"/>
      <c r="K149" s="26"/>
      <c r="L149" s="26"/>
      <c r="M149" s="26"/>
      <c r="N149" s="26"/>
      <c r="O149" s="26"/>
    </row>
    <row r="150" spans="1:15" ht="18">
      <c r="A150" s="26"/>
      <c r="B150" s="26"/>
      <c r="C150" s="26"/>
      <c r="D150" s="26"/>
      <c r="E150" s="26"/>
      <c r="F150" s="26"/>
      <c r="G150" s="26"/>
      <c r="H150" s="26"/>
      <c r="I150" s="26"/>
      <c r="J150" s="26"/>
      <c r="K150" s="26"/>
      <c r="L150" s="26"/>
      <c r="M150" s="26"/>
      <c r="N150" s="26"/>
      <c r="O150" s="26"/>
    </row>
    <row r="151" spans="1:15" ht="18">
      <c r="A151" s="26"/>
      <c r="B151" s="26"/>
      <c r="C151" s="26"/>
      <c r="D151" s="26"/>
      <c r="E151" s="26"/>
      <c r="F151" s="26"/>
      <c r="G151" s="26"/>
      <c r="H151" s="26"/>
      <c r="I151" s="26"/>
      <c r="J151" s="26"/>
      <c r="K151" s="26"/>
      <c r="L151" s="26"/>
      <c r="M151" s="26"/>
      <c r="N151" s="26"/>
      <c r="O151" s="26"/>
    </row>
  </sheetData>
  <sheetProtection/>
  <mergeCells count="20">
    <mergeCell ref="A1:B1"/>
    <mergeCell ref="A11:B11"/>
    <mergeCell ref="C6:E6"/>
    <mergeCell ref="D7:E7"/>
    <mergeCell ref="A2:O2"/>
    <mergeCell ref="H9:K9"/>
    <mergeCell ref="G9:G10"/>
    <mergeCell ref="A3:O3"/>
    <mergeCell ref="L8:O8"/>
    <mergeCell ref="G7:O7"/>
    <mergeCell ref="A6:B10"/>
    <mergeCell ref="A4:O4"/>
    <mergeCell ref="L9:L10"/>
    <mergeCell ref="M9:O9"/>
    <mergeCell ref="F7:F10"/>
    <mergeCell ref="E8:E10"/>
    <mergeCell ref="F6:O6"/>
    <mergeCell ref="G8:K8"/>
    <mergeCell ref="D8:D10"/>
    <mergeCell ref="C7:C10"/>
  </mergeCells>
  <printOptions/>
  <pageMargins left="0.75" right="0.5" top="1" bottom="0.5"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IDC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Duc Cong</dc:creator>
  <cp:keywords/>
  <dc:description/>
  <cp:lastModifiedBy>User</cp:lastModifiedBy>
  <cp:lastPrinted>2015-01-14T09:42:29Z</cp:lastPrinted>
  <dcterms:created xsi:type="dcterms:W3CDTF">2010-06-28T09:14:51Z</dcterms:created>
  <dcterms:modified xsi:type="dcterms:W3CDTF">2015-01-14T09:44:10Z</dcterms:modified>
  <cp:category/>
  <cp:version/>
  <cp:contentType/>
  <cp:contentStatus/>
</cp:coreProperties>
</file>